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Sô_la_mviê_cNa_y" defaultThemeVersion="124226"/>
  <bookViews>
    <workbookView xWindow="-120" yWindow="-120" windowWidth="29040" windowHeight="15720" tabRatio="896" firstSheet="4" activeTab="20"/>
  </bookViews>
  <sheets>
    <sheet name="PL tong hop" sheetId="74" state="hidden" r:id="rId1"/>
    <sheet name="SGV" sheetId="163" state="hidden" r:id="rId2"/>
    <sheet name="SGV_2" sheetId="164" state="veryHidden" r:id="rId3"/>
    <sheet name="PHỤ LỤC" sheetId="125" state="hidden" r:id="rId4"/>
    <sheet name="48.QTCĐNSĐP" sheetId="75" r:id="rId5"/>
    <sheet name="49" sheetId="76" r:id="rId6"/>
    <sheet name="50" sheetId="77" r:id="rId7"/>
    <sheet name="51" sheetId="78" r:id="rId8"/>
    <sheet name="52" sheetId="79" r:id="rId9"/>
    <sheet name="53" sheetId="80" r:id="rId10"/>
    <sheet name="54" sheetId="81" r:id="rId11"/>
    <sheet name="55" sheetId="82" r:id="rId12"/>
    <sheet name="56" sheetId="83" r:id="rId13"/>
    <sheet name="57" sheetId="84" r:id="rId14"/>
    <sheet name="58" sheetId="85" r:id="rId15"/>
    <sheet name="59- Không có" sheetId="178" state="hidden" r:id="rId16"/>
    <sheet name="60" sheetId="87" r:id="rId17"/>
    <sheet name="61" sheetId="133" r:id="rId18"/>
    <sheet name="62" sheetId="177" r:id="rId19"/>
    <sheet name="63" sheetId="90" r:id="rId20"/>
    <sheet name="64" sheetId="91" r:id="rId21"/>
    <sheet name="CCTL" sheetId="176" state="hidden" r:id="rId22"/>
    <sheet name="B01STC" sheetId="122" state="hidden" r:id="rId23"/>
    <sheet name="Nguồn CCTL" sheetId="152" state="hidden" r:id="rId24"/>
    <sheet name="Sheet1" sheetId="162" state="hidden" r:id="rId25"/>
    <sheet name="Sheet2" sheetId="165" state="hidden" r:id="rId26"/>
    <sheet name="pb01" sheetId="166" state="hidden" r:id="rId27"/>
    <sheet name="pb02" sheetId="168" state="hidden" r:id="rId28"/>
    <sheet name="PB03" sheetId="169" state="hidden" r:id="rId29"/>
    <sheet name="PB04" sheetId="171" state="hidden" r:id="rId30"/>
    <sheet name="pl05" sheetId="172" state="hidden" r:id="rId31"/>
    <sheet name="PL06" sheetId="170" state="hidden" r:id="rId32"/>
  </sheets>
  <externalReferences>
    <externalReference r:id="rId33"/>
  </externalReferences>
  <definedNames>
    <definedName name="_xlnm._FilterDatabase" localSheetId="0" hidden="1">'PL tong hop'!$A$4:$E$101</definedName>
    <definedName name="_xlnm.Print_Titles" localSheetId="6">'50'!$5:$6</definedName>
    <definedName name="_xlnm.Print_Titles" localSheetId="7">'51'!$5:$6</definedName>
    <definedName name="_xlnm.Print_Titles" localSheetId="8">'52'!$5:$7</definedName>
    <definedName name="_xlnm.Print_Titles" localSheetId="9">'53'!$5:$6</definedName>
    <definedName name="_xlnm.Print_Titles" localSheetId="10">'54'!$5:$7</definedName>
    <definedName name="_xlnm.Print_Titles" localSheetId="11">'55'!$5:$7</definedName>
    <definedName name="_xlnm.Print_Titles" localSheetId="12">'56'!$5:$6</definedName>
    <definedName name="_xlnm.Print_Titles" localSheetId="13">'57'!$5:$6</definedName>
    <definedName name="_xlnm.Print_Titles" localSheetId="14">'58'!$4:$7</definedName>
    <definedName name="_xlnm.Print_Titles" localSheetId="15">'59- Không có'!$3:$6</definedName>
    <definedName name="_xlnm.Print_Titles" localSheetId="16">'60'!$5:$7</definedName>
    <definedName name="_xlnm.Print_Titles" localSheetId="17">'61'!$5:$9</definedName>
    <definedName name="_xlnm.Print_Titles" localSheetId="18">'62'!$4:$8</definedName>
    <definedName name="_xlnm.Print_Titles" localSheetId="19">'63'!$5:$8</definedName>
    <definedName name="_xlnm.Print_Titles" localSheetId="22">B01STC!$4:$8</definedName>
    <definedName name="_xlnm.Print_Titles" localSheetId="26">'pb01'!$4:$4</definedName>
    <definedName name="_xlnm.Print_Titles" localSheetId="27">'pb02'!$4:$4</definedName>
    <definedName name="_xlnm.Print_Titles" localSheetId="28">'PB03'!$4:$4</definedName>
    <definedName name="_xlnm.Print_Titles" localSheetId="29">'PB04'!$4:$5</definedName>
    <definedName name="_xlnm.Print_Titles" localSheetId="0">'PL tong hop'!$4:$4</definedName>
    <definedName name="_xlnm.Print_Titles" localSheetId="30">'pl05'!$4:$4</definedName>
    <definedName name="_xlnm.Print_Titles" localSheetId="3">'PHỤ LỤC'!$4:$4</definedName>
    <definedName name="_xlnm.Print_Titles">#N/A</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7" i="77" l="1"/>
  <c r="H68" i="77"/>
  <c r="G67" i="77"/>
  <c r="G68" i="77"/>
  <c r="C33" i="76"/>
  <c r="E33" i="76" s="1"/>
  <c r="E25" i="76"/>
  <c r="E27" i="76"/>
  <c r="E28" i="76"/>
  <c r="E29" i="76"/>
  <c r="E30" i="76"/>
  <c r="E31" i="76"/>
  <c r="E34" i="76"/>
  <c r="E24" i="76"/>
  <c r="E23" i="81"/>
  <c r="F18" i="80"/>
  <c r="A3" i="76"/>
  <c r="L11" i="85" l="1"/>
  <c r="P11" i="85"/>
  <c r="O11" i="85"/>
  <c r="E11" i="85"/>
  <c r="F24" i="75"/>
  <c r="F30" i="75"/>
  <c r="C30" i="75"/>
  <c r="C20" i="75"/>
  <c r="D11" i="85" l="1"/>
  <c r="F20" i="80"/>
  <c r="C20" i="80"/>
  <c r="H20" i="80"/>
  <c r="E20" i="80"/>
  <c r="K20" i="80" s="1"/>
  <c r="E19" i="78"/>
  <c r="H18" i="80"/>
  <c r="E37" i="80"/>
  <c r="C37" i="80" s="1"/>
  <c r="H30" i="80"/>
  <c r="F30" i="80" s="1"/>
  <c r="E30" i="80"/>
  <c r="C30" i="80" s="1"/>
  <c r="K30" i="80" l="1"/>
  <c r="E18" i="80"/>
  <c r="P28" i="90"/>
  <c r="J28" i="90"/>
  <c r="H9" i="90"/>
  <c r="J9" i="90"/>
  <c r="K9" i="90"/>
  <c r="P31" i="90"/>
  <c r="K10" i="90"/>
  <c r="K18" i="90" l="1"/>
  <c r="C10" i="90" l="1"/>
  <c r="P10" i="90" s="1"/>
  <c r="E10" i="90"/>
  <c r="F10" i="90"/>
  <c r="D10" i="90"/>
  <c r="G11" i="90"/>
  <c r="G12" i="90"/>
  <c r="G13" i="90"/>
  <c r="C14" i="90"/>
  <c r="E14" i="90"/>
  <c r="F14" i="90"/>
  <c r="D16" i="90"/>
  <c r="D14" i="90" s="1"/>
  <c r="G17" i="90"/>
  <c r="K14" i="90"/>
  <c r="C18" i="90"/>
  <c r="E18" i="90"/>
  <c r="E9" i="90" s="1"/>
  <c r="F18" i="90"/>
  <c r="F9" i="90" s="1"/>
  <c r="D18" i="90"/>
  <c r="D9" i="90" s="1"/>
  <c r="G19" i="90"/>
  <c r="G20" i="90"/>
  <c r="G21" i="90"/>
  <c r="C22" i="90"/>
  <c r="E22" i="90"/>
  <c r="F22" i="90"/>
  <c r="H22" i="90"/>
  <c r="K22" i="90"/>
  <c r="D22" i="90"/>
  <c r="G24" i="90"/>
  <c r="C25" i="90"/>
  <c r="E25" i="90"/>
  <c r="F25" i="90"/>
  <c r="H25" i="90"/>
  <c r="D25" i="90"/>
  <c r="G26" i="90"/>
  <c r="K25" i="90"/>
  <c r="G27" i="90"/>
  <c r="C28" i="90"/>
  <c r="E28" i="90"/>
  <c r="F28" i="90"/>
  <c r="H28" i="90"/>
  <c r="D28" i="90"/>
  <c r="G29" i="90"/>
  <c r="K28" i="90"/>
  <c r="G30" i="90"/>
  <c r="P30" i="90"/>
  <c r="P29" i="90"/>
  <c r="L29" i="90"/>
  <c r="P27" i="90"/>
  <c r="P26" i="90"/>
  <c r="P24" i="90"/>
  <c r="P23" i="90"/>
  <c r="P21" i="90"/>
  <c r="P20" i="90"/>
  <c r="P19" i="90"/>
  <c r="P17" i="90"/>
  <c r="P16" i="90"/>
  <c r="P15" i="90"/>
  <c r="P18" i="90" l="1"/>
  <c r="P9" i="90" s="1"/>
  <c r="C9" i="90"/>
  <c r="G28" i="90"/>
  <c r="G16" i="90"/>
  <c r="J25" i="90"/>
  <c r="P25" i="90" s="1"/>
  <c r="P22" i="90"/>
  <c r="J22" i="90"/>
  <c r="J14" i="90"/>
  <c r="P14" i="90" s="1"/>
  <c r="G25" i="90"/>
  <c r="G18" i="90"/>
  <c r="G9" i="90" s="1"/>
  <c r="G10" i="90"/>
  <c r="G23" i="90"/>
  <c r="G22" i="90" s="1"/>
  <c r="G15" i="90"/>
  <c r="G14" i="90" s="1"/>
  <c r="A3" i="177" l="1"/>
  <c r="A3" i="90" s="1"/>
  <c r="A4" i="91" s="1"/>
  <c r="A3" i="133"/>
  <c r="A3" i="84"/>
  <c r="A3" i="85" s="1"/>
  <c r="A3" i="87" s="1"/>
  <c r="A3" i="83"/>
  <c r="A3" i="82"/>
  <c r="A3" i="81"/>
  <c r="A3" i="79"/>
  <c r="A3" i="80" s="1"/>
  <c r="A3" i="78"/>
  <c r="A3" i="77"/>
  <c r="Q81" i="177" l="1"/>
  <c r="Q80" i="177"/>
  <c r="Q78" i="177"/>
  <c r="N77" i="177"/>
  <c r="L77" i="177"/>
  <c r="G77" i="177"/>
  <c r="E77" i="177"/>
  <c r="M79" i="177"/>
  <c r="L80" i="177"/>
  <c r="L81" i="177"/>
  <c r="L79" i="177" s="1"/>
  <c r="L78" i="177"/>
  <c r="L49" i="177"/>
  <c r="O49" i="177"/>
  <c r="P49" i="177"/>
  <c r="P53" i="177"/>
  <c r="O53" i="177"/>
  <c r="L53" i="177"/>
  <c r="P54" i="177"/>
  <c r="O54" i="177"/>
  <c r="L54" i="177"/>
  <c r="L55" i="177"/>
  <c r="O55" i="177"/>
  <c r="P55" i="177"/>
  <c r="L57" i="177"/>
  <c r="L58" i="177"/>
  <c r="L59" i="177"/>
  <c r="L60" i="177"/>
  <c r="L61" i="177"/>
  <c r="L62" i="177"/>
  <c r="L63" i="177"/>
  <c r="L64" i="177"/>
  <c r="L65" i="177"/>
  <c r="L66" i="177"/>
  <c r="L67" i="177"/>
  <c r="L68" i="177"/>
  <c r="L69" i="177"/>
  <c r="L70" i="177"/>
  <c r="L71" i="177"/>
  <c r="L72" i="177"/>
  <c r="L73" i="177"/>
  <c r="L74" i="177"/>
  <c r="L75" i="177"/>
  <c r="L76" i="177"/>
  <c r="L56" i="177"/>
  <c r="Q12" i="177"/>
  <c r="S12" i="177"/>
  <c r="Q18" i="177"/>
  <c r="Q17" i="177"/>
  <c r="Q16" i="177"/>
  <c r="Q13" i="177"/>
  <c r="L12" i="177"/>
  <c r="N12" i="177"/>
  <c r="L18" i="177"/>
  <c r="L17" i="177"/>
  <c r="L16" i="177"/>
  <c r="L13" i="177"/>
  <c r="F11" i="79" l="1"/>
  <c r="F12" i="79"/>
  <c r="F13" i="79"/>
  <c r="F18" i="79"/>
  <c r="F21" i="79"/>
  <c r="F22" i="79"/>
  <c r="F23" i="79"/>
  <c r="C11" i="79" l="1"/>
  <c r="D11" i="79"/>
  <c r="E11" i="79"/>
  <c r="C12" i="79"/>
  <c r="E30" i="78"/>
  <c r="D13" i="133" l="1"/>
  <c r="G12" i="81" s="1"/>
  <c r="G10" i="81" s="1"/>
  <c r="G9" i="81" s="1"/>
  <c r="D12" i="133"/>
  <c r="O10" i="81"/>
  <c r="I33" i="81"/>
  <c r="O33" i="81"/>
  <c r="O9" i="81" s="1"/>
  <c r="K27" i="81"/>
  <c r="I27" i="81" s="1"/>
  <c r="K26" i="81"/>
  <c r="I26" i="81" s="1"/>
  <c r="K25" i="81"/>
  <c r="I25" i="81" s="1"/>
  <c r="K23" i="81"/>
  <c r="I23" i="81" s="1"/>
  <c r="K21" i="81"/>
  <c r="I21" i="81" s="1"/>
  <c r="K20" i="81"/>
  <c r="I20" i="81" s="1"/>
  <c r="K19" i="81"/>
  <c r="I19" i="81" s="1"/>
  <c r="K18" i="81"/>
  <c r="I18" i="81" s="1"/>
  <c r="K17" i="81"/>
  <c r="I17" i="81" s="1"/>
  <c r="E27" i="81"/>
  <c r="E26" i="81"/>
  <c r="E25" i="81"/>
  <c r="C25" i="81"/>
  <c r="C26" i="81"/>
  <c r="C27" i="81"/>
  <c r="E21" i="81"/>
  <c r="E20" i="81"/>
  <c r="E19" i="81"/>
  <c r="E18" i="81"/>
  <c r="E17" i="81"/>
  <c r="N16" i="81"/>
  <c r="N13" i="81"/>
  <c r="M12" i="81"/>
  <c r="M10" i="81" s="1"/>
  <c r="M9" i="81" s="1"/>
  <c r="N12" i="81"/>
  <c r="K12" i="81" s="1"/>
  <c r="N11" i="81"/>
  <c r="H16" i="81"/>
  <c r="F16" i="81" s="1"/>
  <c r="H13" i="81"/>
  <c r="H12" i="81"/>
  <c r="H11" i="81"/>
  <c r="D21" i="75"/>
  <c r="C14" i="78"/>
  <c r="C13" i="78"/>
  <c r="O13" i="82"/>
  <c r="Q12" i="82"/>
  <c r="C12" i="78"/>
  <c r="D38" i="78"/>
  <c r="F43" i="80"/>
  <c r="A39" i="80"/>
  <c r="A40" i="80" s="1"/>
  <c r="A41" i="80" s="1"/>
  <c r="A42" i="80" s="1"/>
  <c r="A43" i="80" s="1"/>
  <c r="A44" i="80" s="1"/>
  <c r="A45" i="80" s="1"/>
  <c r="A46" i="80" s="1"/>
  <c r="A47" i="80" s="1"/>
  <c r="A48" i="80" s="1"/>
  <c r="A49" i="80" s="1"/>
  <c r="A50" i="80" s="1"/>
  <c r="A51" i="80" s="1"/>
  <c r="A52" i="80" s="1"/>
  <c r="A53" i="80" s="1"/>
  <c r="A54" i="80" s="1"/>
  <c r="A55" i="80" s="1"/>
  <c r="A56" i="80" s="1"/>
  <c r="A57" i="80" s="1"/>
  <c r="A58" i="80" s="1"/>
  <c r="A59" i="80" s="1"/>
  <c r="A60" i="80" s="1"/>
  <c r="A61" i="80" s="1"/>
  <c r="A62" i="80" s="1"/>
  <c r="A63" i="80" s="1"/>
  <c r="A64" i="80" s="1"/>
  <c r="A65" i="80" s="1"/>
  <c r="A66" i="80" s="1"/>
  <c r="A67" i="80" s="1"/>
  <c r="A68" i="80" s="1"/>
  <c r="F51" i="80"/>
  <c r="N10" i="81" l="1"/>
  <c r="N9" i="81" s="1"/>
  <c r="H10" i="81"/>
  <c r="H9" i="81" s="1"/>
  <c r="K11" i="81"/>
  <c r="F13" i="81"/>
  <c r="C10" i="78"/>
  <c r="I32" i="81"/>
  <c r="F49" i="80"/>
  <c r="D12" i="81" l="1"/>
  <c r="D10" i="81" s="1"/>
  <c r="D9" i="81" s="1"/>
  <c r="H28" i="80"/>
  <c r="E28" i="80"/>
  <c r="C28" i="78" s="1"/>
  <c r="AK80" i="177"/>
  <c r="AC80" i="177"/>
  <c r="H15" i="80"/>
  <c r="C15" i="80"/>
  <c r="E15" i="80" s="1"/>
  <c r="C14" i="80"/>
  <c r="E14" i="80" s="1"/>
  <c r="C13" i="80"/>
  <c r="K15" i="80" l="1"/>
  <c r="D14" i="78"/>
  <c r="E14" i="78" s="1"/>
  <c r="E13" i="80"/>
  <c r="E11" i="80" s="1"/>
  <c r="E10" i="80" s="1"/>
  <c r="D8" i="84" l="1"/>
  <c r="E8" i="84"/>
  <c r="F8" i="84"/>
  <c r="H8" i="84"/>
  <c r="I8" i="84"/>
  <c r="K8" i="84"/>
  <c r="C8" i="84"/>
  <c r="D9" i="84"/>
  <c r="E9" i="84"/>
  <c r="F9" i="84"/>
  <c r="C9" i="84"/>
  <c r="I9" i="83"/>
  <c r="K9" i="83"/>
  <c r="L9" i="83"/>
  <c r="O9" i="83"/>
  <c r="S9" i="83"/>
  <c r="T22" i="83"/>
  <c r="T26" i="83"/>
  <c r="M11" i="83"/>
  <c r="M9" i="83" s="1"/>
  <c r="P11" i="83"/>
  <c r="P9" i="83" s="1"/>
  <c r="O11" i="83"/>
  <c r="E11" i="83"/>
  <c r="Q11" i="83"/>
  <c r="R11" i="83" l="1"/>
  <c r="N11" i="83" s="1"/>
  <c r="N9" i="83" s="1"/>
  <c r="R10" i="83"/>
  <c r="R9" i="83" s="1"/>
  <c r="G10" i="83"/>
  <c r="G9" i="83" s="1"/>
  <c r="F10" i="83"/>
  <c r="F9" i="83" s="1"/>
  <c r="C12" i="83"/>
  <c r="E13" i="81" s="1"/>
  <c r="R12" i="83"/>
  <c r="J12" i="83"/>
  <c r="J9" i="83" s="1"/>
  <c r="E12" i="83"/>
  <c r="C10" i="84"/>
  <c r="Q10" i="83" l="1"/>
  <c r="C11" i="83"/>
  <c r="C10" i="83"/>
  <c r="E23" i="83"/>
  <c r="E9" i="83" s="1"/>
  <c r="D24" i="83"/>
  <c r="C23" i="83"/>
  <c r="E24" i="81" s="1"/>
  <c r="C24" i="81" s="1"/>
  <c r="D20" i="83"/>
  <c r="D18" i="83"/>
  <c r="D17" i="83"/>
  <c r="D16" i="83"/>
  <c r="R8" i="82"/>
  <c r="P8" i="82"/>
  <c r="M8" i="82"/>
  <c r="J8" i="82"/>
  <c r="E8" i="82"/>
  <c r="C8" i="82"/>
  <c r="C12" i="82"/>
  <c r="N13" i="82"/>
  <c r="D13" i="82" s="1"/>
  <c r="H14" i="80" s="1"/>
  <c r="D14" i="82"/>
  <c r="P10" i="82"/>
  <c r="N10" i="82"/>
  <c r="E10" i="82"/>
  <c r="C10" i="82"/>
  <c r="O11" i="82"/>
  <c r="N11" i="82"/>
  <c r="E11" i="82"/>
  <c r="E11" i="91"/>
  <c r="E12" i="91"/>
  <c r="E13" i="91"/>
  <c r="E12" i="81" l="1"/>
  <c r="D13" i="78"/>
  <c r="E13" i="78" s="1"/>
  <c r="K14" i="80"/>
  <c r="D23" i="83"/>
  <c r="D11" i="82"/>
  <c r="H34" i="80"/>
  <c r="E34" i="80"/>
  <c r="H33" i="80"/>
  <c r="E33" i="80"/>
  <c r="T23" i="83" l="1"/>
  <c r="K24" i="81"/>
  <c r="I24" i="81" s="1"/>
  <c r="H31" i="80"/>
  <c r="E31" i="80"/>
  <c r="C31" i="78" s="1"/>
  <c r="E78" i="177" l="1"/>
  <c r="Q57" i="177" l="1"/>
  <c r="Q58" i="177"/>
  <c r="Q59" i="177"/>
  <c r="Q60" i="177"/>
  <c r="Q61" i="177"/>
  <c r="Q62" i="177"/>
  <c r="Q63" i="177"/>
  <c r="Q64" i="177"/>
  <c r="Q65" i="177"/>
  <c r="Q66" i="177"/>
  <c r="Q67" i="177"/>
  <c r="Q68" i="177"/>
  <c r="Q69" i="177"/>
  <c r="Q70" i="177"/>
  <c r="Q71" i="177"/>
  <c r="Q72" i="177"/>
  <c r="Q73" i="177"/>
  <c r="Q74" i="177"/>
  <c r="Q75" i="177"/>
  <c r="Q76" i="177"/>
  <c r="Q56" i="177"/>
  <c r="H55" i="177"/>
  <c r="H54" i="177" s="1"/>
  <c r="H53" i="177" s="1"/>
  <c r="H49" i="177" s="1"/>
  <c r="I55" i="177"/>
  <c r="I54" i="177" s="1"/>
  <c r="I53" i="177" s="1"/>
  <c r="I49" i="177" s="1"/>
  <c r="T55" i="177"/>
  <c r="T54" i="177" s="1"/>
  <c r="T53" i="177" s="1"/>
  <c r="T49" i="177" s="1"/>
  <c r="U55" i="177"/>
  <c r="U54" i="177" s="1"/>
  <c r="U53" i="177" s="1"/>
  <c r="U49" i="177" s="1"/>
  <c r="E52" i="177"/>
  <c r="E56" i="177"/>
  <c r="E57" i="177"/>
  <c r="E58" i="177"/>
  <c r="E59" i="177"/>
  <c r="E60" i="177"/>
  <c r="E61" i="177"/>
  <c r="E62" i="177"/>
  <c r="E63" i="177"/>
  <c r="E64" i="177"/>
  <c r="E65" i="177"/>
  <c r="E66" i="177"/>
  <c r="E67" i="177"/>
  <c r="E68" i="177"/>
  <c r="E69" i="177"/>
  <c r="E70" i="177"/>
  <c r="E71" i="177"/>
  <c r="E72" i="177"/>
  <c r="E73" i="177"/>
  <c r="E74" i="177"/>
  <c r="E75" i="177"/>
  <c r="E76" i="177"/>
  <c r="E55" i="177" l="1"/>
  <c r="E54" i="177" s="1"/>
  <c r="E53" i="177" s="1"/>
  <c r="Q55" i="177"/>
  <c r="Q54" i="177" s="1"/>
  <c r="Q53" i="177" s="1"/>
  <c r="Q49" i="177" s="1"/>
  <c r="K11" i="177"/>
  <c r="K10" i="177" s="1"/>
  <c r="L11" i="177"/>
  <c r="L10" i="177" s="1"/>
  <c r="M11" i="177"/>
  <c r="M10" i="177" s="1"/>
  <c r="N11" i="177"/>
  <c r="N10" i="177" s="1"/>
  <c r="O11" i="177"/>
  <c r="O10" i="177" s="1"/>
  <c r="P11" i="177"/>
  <c r="P10" i="177" s="1"/>
  <c r="Q11" i="177"/>
  <c r="Q10" i="177" s="1"/>
  <c r="R11" i="177"/>
  <c r="R10" i="177" s="1"/>
  <c r="S11" i="177"/>
  <c r="S10" i="177" s="1"/>
  <c r="T11" i="177"/>
  <c r="T10" i="177" s="1"/>
  <c r="U11" i="177"/>
  <c r="U10" i="177" s="1"/>
  <c r="W11" i="177"/>
  <c r="W10" i="177" s="1"/>
  <c r="Y11" i="177"/>
  <c r="Y10" i="177" s="1"/>
  <c r="AE11" i="177"/>
  <c r="AE10" i="177" s="1"/>
  <c r="E81" i="177"/>
  <c r="E80" i="177"/>
  <c r="J79" i="177"/>
  <c r="J11" i="177" s="1"/>
  <c r="J10" i="177" s="1"/>
  <c r="E84" i="177"/>
  <c r="E85" i="177"/>
  <c r="E86" i="177"/>
  <c r="E83" i="177"/>
  <c r="E82" i="177" s="1"/>
  <c r="J82" i="177"/>
  <c r="AC82" i="177"/>
  <c r="AK82" i="177"/>
  <c r="AC79" i="177"/>
  <c r="AC11" i="177" s="1"/>
  <c r="AC10" i="177" s="1"/>
  <c r="AK79" i="177"/>
  <c r="AK11" i="177" s="1"/>
  <c r="AK10" i="177" s="1"/>
  <c r="AF77" i="177"/>
  <c r="X77" i="177"/>
  <c r="AI54" i="177"/>
  <c r="AI53" i="177" s="1"/>
  <c r="Z55" i="177"/>
  <c r="Z54" i="177" s="1"/>
  <c r="Z53" i="177" s="1"/>
  <c r="AA55" i="177"/>
  <c r="AA54" i="177" s="1"/>
  <c r="AA53" i="177" s="1"/>
  <c r="AG55" i="177"/>
  <c r="AG54" i="177" s="1"/>
  <c r="AG53" i="177" s="1"/>
  <c r="AI55" i="177"/>
  <c r="AD56" i="177"/>
  <c r="AD57" i="177"/>
  <c r="AD58" i="177"/>
  <c r="AD59" i="177"/>
  <c r="AD60" i="177"/>
  <c r="AD61" i="177"/>
  <c r="AD62" i="177"/>
  <c r="AD63" i="177"/>
  <c r="AD64" i="177"/>
  <c r="AD65" i="177"/>
  <c r="AD66" i="177"/>
  <c r="AD67" i="177"/>
  <c r="AD68" i="177"/>
  <c r="AD69" i="177"/>
  <c r="AD70" i="177"/>
  <c r="AD71" i="177"/>
  <c r="AD72" i="177"/>
  <c r="AD73" i="177"/>
  <c r="AD74" i="177"/>
  <c r="AD75" i="177"/>
  <c r="AD76" i="177"/>
  <c r="AD78" i="177"/>
  <c r="AD77" i="177" s="1"/>
  <c r="AD80" i="177"/>
  <c r="AD79" i="177" s="1"/>
  <c r="AD81" i="177"/>
  <c r="AD83" i="177"/>
  <c r="AD82" i="177" s="1"/>
  <c r="AD84" i="177"/>
  <c r="AD85" i="177"/>
  <c r="AD86" i="177"/>
  <c r="AI51" i="177"/>
  <c r="AI50" i="177" s="1"/>
  <c r="AG51" i="177"/>
  <c r="AG50" i="177" s="1"/>
  <c r="AG49" i="177" s="1"/>
  <c r="AG11" i="177" s="1"/>
  <c r="AG10" i="177" s="1"/>
  <c r="AA51" i="177"/>
  <c r="AA50" i="177" s="1"/>
  <c r="Z51" i="177"/>
  <c r="Z50" i="177" s="1"/>
  <c r="Z49" i="177" s="1"/>
  <c r="AD52" i="177"/>
  <c r="AD51" i="177" s="1"/>
  <c r="AD50" i="177" s="1"/>
  <c r="A84" i="177"/>
  <c r="A85" i="177" s="1"/>
  <c r="A86" i="177" s="1"/>
  <c r="A81" i="177"/>
  <c r="A57" i="177"/>
  <c r="A58" i="177" s="1"/>
  <c r="A59" i="177" s="1"/>
  <c r="A60" i="177" s="1"/>
  <c r="A61" i="177" s="1"/>
  <c r="A62" i="177" s="1"/>
  <c r="A63" i="177" s="1"/>
  <c r="A64" i="177" s="1"/>
  <c r="A65" i="177" s="1"/>
  <c r="A66" i="177" s="1"/>
  <c r="A67" i="177" s="1"/>
  <c r="A68" i="177" s="1"/>
  <c r="A69" i="177" s="1"/>
  <c r="A70" i="177" s="1"/>
  <c r="A71" i="177" s="1"/>
  <c r="A72" i="177" s="1"/>
  <c r="A73" i="177" s="1"/>
  <c r="A74" i="177" s="1"/>
  <c r="A75" i="177" s="1"/>
  <c r="A76" i="177" s="1"/>
  <c r="AH27" i="177"/>
  <c r="AH26" i="177" s="1"/>
  <c r="AJ27" i="177"/>
  <c r="AJ26" i="177" s="1"/>
  <c r="AD28" i="177"/>
  <c r="AD29" i="177"/>
  <c r="AD30" i="177"/>
  <c r="AD31" i="177"/>
  <c r="AD32" i="177"/>
  <c r="AD33" i="177"/>
  <c r="AD34" i="177"/>
  <c r="AD35" i="177"/>
  <c r="AD36" i="177"/>
  <c r="AD37" i="177"/>
  <c r="AD38" i="177"/>
  <c r="AD39" i="177"/>
  <c r="AD40" i="177"/>
  <c r="AD41" i="177"/>
  <c r="AD42" i="177"/>
  <c r="AD43" i="177"/>
  <c r="AD44" i="177"/>
  <c r="AD45" i="177"/>
  <c r="AD46" i="177"/>
  <c r="AD47" i="177"/>
  <c r="AD48" i="177"/>
  <c r="V28" i="177"/>
  <c r="V29" i="177"/>
  <c r="V30" i="177"/>
  <c r="V31" i="177"/>
  <c r="V32" i="177"/>
  <c r="V33" i="177"/>
  <c r="V34" i="177"/>
  <c r="V35" i="177"/>
  <c r="V36" i="177"/>
  <c r="V37" i="177"/>
  <c r="V38" i="177"/>
  <c r="V39" i="177"/>
  <c r="V40" i="177"/>
  <c r="V41" i="177"/>
  <c r="V42" i="177"/>
  <c r="V43" i="177"/>
  <c r="V44" i="177"/>
  <c r="V45" i="177"/>
  <c r="V46" i="177"/>
  <c r="V47" i="177"/>
  <c r="V48" i="177"/>
  <c r="V52" i="177"/>
  <c r="V51" i="177" s="1"/>
  <c r="V50" i="177" s="1"/>
  <c r="V56" i="177"/>
  <c r="V57" i="177"/>
  <c r="V58" i="177"/>
  <c r="V59" i="177"/>
  <c r="V60" i="177"/>
  <c r="V61" i="177"/>
  <c r="V62" i="177"/>
  <c r="V63" i="177"/>
  <c r="V64" i="177"/>
  <c r="V65" i="177"/>
  <c r="V66" i="177"/>
  <c r="V67" i="177"/>
  <c r="V68" i="177"/>
  <c r="V69" i="177"/>
  <c r="V70" i="177"/>
  <c r="V71" i="177"/>
  <c r="V72" i="177"/>
  <c r="V73" i="177"/>
  <c r="V74" i="177"/>
  <c r="V75" i="177"/>
  <c r="V76" i="177"/>
  <c r="V78" i="177"/>
  <c r="V77" i="177" s="1"/>
  <c r="V80" i="177"/>
  <c r="V81" i="177"/>
  <c r="V83" i="177"/>
  <c r="V84" i="177"/>
  <c r="V85" i="177"/>
  <c r="V86" i="177"/>
  <c r="H27" i="177"/>
  <c r="H26" i="177" s="1"/>
  <c r="H20" i="177" s="1"/>
  <c r="H11" i="177" s="1"/>
  <c r="H10" i="177" s="1"/>
  <c r="I27" i="177"/>
  <c r="I26" i="177" s="1"/>
  <c r="I20" i="177" s="1"/>
  <c r="I11" i="177" s="1"/>
  <c r="I10" i="177" s="1"/>
  <c r="Z27" i="177"/>
  <c r="Z26" i="177" s="1"/>
  <c r="AB27" i="177"/>
  <c r="AB26" i="177" s="1"/>
  <c r="E28" i="177"/>
  <c r="E29" i="177"/>
  <c r="E30" i="177"/>
  <c r="E31" i="177"/>
  <c r="E32" i="177"/>
  <c r="E33" i="177"/>
  <c r="E34" i="177"/>
  <c r="E35" i="177"/>
  <c r="E36" i="177"/>
  <c r="E37" i="177"/>
  <c r="E38" i="177"/>
  <c r="E39" i="177"/>
  <c r="E40" i="177"/>
  <c r="E41" i="177"/>
  <c r="E42" i="177"/>
  <c r="E43" i="177"/>
  <c r="E44" i="177"/>
  <c r="E45" i="177"/>
  <c r="E46" i="177"/>
  <c r="E47" i="177"/>
  <c r="E48" i="177"/>
  <c r="E50" i="177"/>
  <c r="E49" i="177" s="1"/>
  <c r="E51" i="177"/>
  <c r="Z22" i="177"/>
  <c r="Z21" i="177" s="1"/>
  <c r="AB22" i="177"/>
  <c r="AB21" i="177" s="1"/>
  <c r="AH22" i="177"/>
  <c r="AH21" i="177" s="1"/>
  <c r="AH20" i="177" s="1"/>
  <c r="AH11" i="177" s="1"/>
  <c r="AH10" i="177" s="1"/>
  <c r="AJ22" i="177"/>
  <c r="AJ21" i="177" s="1"/>
  <c r="AD23" i="177"/>
  <c r="AD24" i="177"/>
  <c r="AD25" i="177"/>
  <c r="V23" i="177"/>
  <c r="V24" i="177"/>
  <c r="V25" i="177"/>
  <c r="A29" i="177"/>
  <c r="A30" i="177" s="1"/>
  <c r="A31" i="177" s="1"/>
  <c r="A32" i="177" s="1"/>
  <c r="A33" i="177" s="1"/>
  <c r="A34" i="177" s="1"/>
  <c r="A35" i="177" s="1"/>
  <c r="A36" i="177" s="1"/>
  <c r="A37" i="177" s="1"/>
  <c r="A38" i="177" s="1"/>
  <c r="A39" i="177" s="1"/>
  <c r="A40" i="177" s="1"/>
  <c r="A41" i="177" s="1"/>
  <c r="A42" i="177" s="1"/>
  <c r="A43" i="177" s="1"/>
  <c r="A44" i="177" s="1"/>
  <c r="A45" i="177" s="1"/>
  <c r="A46" i="177" s="1"/>
  <c r="A47" i="177" s="1"/>
  <c r="A48" i="177" s="1"/>
  <c r="A24" i="177"/>
  <c r="A25" i="177" s="1"/>
  <c r="AD14" i="177"/>
  <c r="AD15" i="177"/>
  <c r="AD16" i="177"/>
  <c r="AD17" i="177"/>
  <c r="AD18" i="177"/>
  <c r="AD19" i="177"/>
  <c r="AD13" i="177"/>
  <c r="V14" i="177"/>
  <c r="V15" i="177"/>
  <c r="V16" i="177"/>
  <c r="V17" i="177"/>
  <c r="V18" i="177"/>
  <c r="V19" i="177"/>
  <c r="V13" i="177"/>
  <c r="G12" i="177"/>
  <c r="G11" i="177" s="1"/>
  <c r="G10" i="177" s="1"/>
  <c r="X12" i="177"/>
  <c r="X11" i="177" s="1"/>
  <c r="X10" i="177" s="1"/>
  <c r="AF12" i="177"/>
  <c r="AF11" i="177" s="1"/>
  <c r="AF10" i="177" s="1"/>
  <c r="E14" i="177"/>
  <c r="E15" i="177"/>
  <c r="E16" i="177"/>
  <c r="E17" i="177"/>
  <c r="E18" i="177"/>
  <c r="E19" i="177"/>
  <c r="E13" i="177"/>
  <c r="A14" i="177"/>
  <c r="A15" i="177" s="1"/>
  <c r="A16" i="177" s="1"/>
  <c r="A17" i="177" s="1"/>
  <c r="A18" i="177" s="1"/>
  <c r="A19" i="177" s="1"/>
  <c r="E79" i="177" l="1"/>
  <c r="AI49" i="177"/>
  <c r="AI11" i="177" s="1"/>
  <c r="AI10" i="177" s="1"/>
  <c r="AA49" i="177"/>
  <c r="AA11" i="177" s="1"/>
  <c r="AA10" i="177" s="1"/>
  <c r="V82" i="177"/>
  <c r="V79" i="177"/>
  <c r="V55" i="177"/>
  <c r="V54" i="177" s="1"/>
  <c r="V53" i="177" s="1"/>
  <c r="V49" i="177" s="1"/>
  <c r="AD49" i="177"/>
  <c r="AD55" i="177"/>
  <c r="AD54" i="177" s="1"/>
  <c r="AD53" i="177" s="1"/>
  <c r="AD27" i="177"/>
  <c r="AD26" i="177" s="1"/>
  <c r="AB20" i="177"/>
  <c r="AB11" i="177" s="1"/>
  <c r="AB10" i="177" s="1"/>
  <c r="E27" i="177"/>
  <c r="E26" i="177" s="1"/>
  <c r="E20" i="177" s="1"/>
  <c r="Z20" i="177"/>
  <c r="Z11" i="177" s="1"/>
  <c r="Z10" i="177" s="1"/>
  <c r="AJ20" i="177"/>
  <c r="AJ11" i="177" s="1"/>
  <c r="AJ10" i="177" s="1"/>
  <c r="V27" i="177"/>
  <c r="V26" i="177" s="1"/>
  <c r="V22" i="177"/>
  <c r="V21" i="177" s="1"/>
  <c r="AD22" i="177"/>
  <c r="AD21" i="177" s="1"/>
  <c r="E12" i="177"/>
  <c r="V12" i="177"/>
  <c r="AD12" i="177"/>
  <c r="V20" i="177" l="1"/>
  <c r="E11" i="177"/>
  <c r="E10" i="177" s="1"/>
  <c r="V11" i="177"/>
  <c r="V10" i="177" s="1"/>
  <c r="AD20" i="177"/>
  <c r="AD11" i="177" s="1"/>
  <c r="AD10" i="177" s="1"/>
  <c r="D23" i="78" l="1"/>
  <c r="C17" i="78"/>
  <c r="C21" i="78"/>
  <c r="Q12" i="133" l="1"/>
  <c r="Q13" i="133"/>
  <c r="Q14" i="133"/>
  <c r="Q15" i="133"/>
  <c r="N13" i="133"/>
  <c r="H13" i="133"/>
  <c r="Y13" i="133"/>
  <c r="M13" i="133"/>
  <c r="K14" i="84"/>
  <c r="K13" i="84"/>
  <c r="J10" i="84"/>
  <c r="K10" i="84" s="1"/>
  <c r="K19" i="84"/>
  <c r="K16" i="84"/>
  <c r="K18" i="84"/>
  <c r="K17" i="84"/>
  <c r="K22" i="84"/>
  <c r="K21" i="84"/>
  <c r="K20" i="84"/>
  <c r="K12" i="84"/>
  <c r="K11" i="84"/>
  <c r="K15" i="84"/>
  <c r="K23" i="84"/>
  <c r="R11" i="85"/>
  <c r="Q11" i="85"/>
  <c r="C68" i="77"/>
  <c r="C67" i="77"/>
  <c r="F68" i="77"/>
  <c r="F67" i="77"/>
  <c r="F17" i="77"/>
  <c r="E17" i="77"/>
  <c r="B12" i="81" l="1"/>
  <c r="B13" i="81"/>
  <c r="B14" i="81"/>
  <c r="B15" i="81"/>
  <c r="B16" i="81"/>
  <c r="B17" i="81"/>
  <c r="B18" i="81"/>
  <c r="B19" i="81"/>
  <c r="B20" i="81"/>
  <c r="B21" i="81"/>
  <c r="B22" i="81"/>
  <c r="B11" i="81"/>
  <c r="F9" i="82" l="1"/>
  <c r="G9" i="82"/>
  <c r="H9" i="82"/>
  <c r="I9" i="82"/>
  <c r="J9" i="82"/>
  <c r="K9" i="82"/>
  <c r="L9" i="82"/>
  <c r="M9" i="82"/>
  <c r="P9" i="82"/>
  <c r="Q9" i="82"/>
  <c r="Q8" i="82" s="1"/>
  <c r="R9" i="82"/>
  <c r="S9" i="82"/>
  <c r="D10" i="82"/>
  <c r="O10" i="82" s="1"/>
  <c r="O9" i="82" s="1"/>
  <c r="O8" i="82" s="1"/>
  <c r="C9" i="82"/>
  <c r="T11" i="82"/>
  <c r="N12" i="82"/>
  <c r="D12" i="82" s="1"/>
  <c r="H13" i="80" s="1"/>
  <c r="T13" i="82"/>
  <c r="H9" i="87"/>
  <c r="G9" i="87"/>
  <c r="K13" i="80" l="1"/>
  <c r="F13" i="80"/>
  <c r="I13" i="80" s="1"/>
  <c r="D12" i="78"/>
  <c r="D10" i="78" s="1"/>
  <c r="J12" i="81" s="1"/>
  <c r="N9" i="82"/>
  <c r="N8" i="82" s="1"/>
  <c r="E15" i="133"/>
  <c r="E12" i="78" l="1"/>
  <c r="E12" i="133"/>
  <c r="G11" i="133"/>
  <c r="H11" i="133"/>
  <c r="J11" i="133"/>
  <c r="K11" i="133"/>
  <c r="M11" i="133"/>
  <c r="N11" i="133"/>
  <c r="S11" i="133"/>
  <c r="T11" i="133"/>
  <c r="V11" i="133"/>
  <c r="W11" i="133"/>
  <c r="Y11" i="133"/>
  <c r="AA11" i="133"/>
  <c r="D9" i="78" l="1"/>
  <c r="D20" i="75"/>
  <c r="J11" i="85" s="1"/>
  <c r="J10" i="81"/>
  <c r="J9" i="81" s="1"/>
  <c r="D10" i="91"/>
  <c r="D9" i="91" s="1"/>
  <c r="C10" i="91"/>
  <c r="C9" i="91" s="1"/>
  <c r="F18" i="176" l="1"/>
  <c r="D19" i="176" l="1"/>
  <c r="D9" i="176"/>
  <c r="D17" i="176"/>
  <c r="E10" i="176"/>
  <c r="E11" i="176"/>
  <c r="D21" i="176" s="1"/>
  <c r="E21" i="176" s="1"/>
  <c r="D13" i="176"/>
  <c r="E9" i="176" l="1"/>
  <c r="D18" i="176"/>
  <c r="J21" i="176"/>
  <c r="E7" i="176" l="1"/>
  <c r="E20" i="176" l="1"/>
  <c r="E8" i="176" s="1"/>
  <c r="E6" i="176" s="1"/>
  <c r="H19" i="176"/>
  <c r="E16" i="176"/>
  <c r="D16" i="176"/>
  <c r="J10" i="176"/>
  <c r="H10" i="176"/>
  <c r="H9" i="176" s="1"/>
  <c r="F10" i="176"/>
  <c r="F9" i="176" s="1"/>
  <c r="F8" i="176"/>
  <c r="F6" i="176" s="1"/>
  <c r="H7" i="176"/>
  <c r="H6" i="176"/>
  <c r="D6" i="176"/>
  <c r="C9" i="78"/>
  <c r="F64" i="77"/>
  <c r="F65" i="77"/>
  <c r="E65" i="77" s="1"/>
  <c r="D64" i="77"/>
  <c r="D65" i="77"/>
  <c r="C65" i="77" s="1"/>
  <c r="D38" i="76"/>
  <c r="D71" i="78" s="1"/>
  <c r="D39" i="76"/>
  <c r="D35" i="76"/>
  <c r="D16" i="76"/>
  <c r="D8" i="76"/>
  <c r="D7" i="76" s="1"/>
  <c r="C8" i="76"/>
  <c r="E34" i="75"/>
  <c r="E35" i="75"/>
  <c r="E36" i="75"/>
  <c r="C28" i="75"/>
  <c r="F14" i="75"/>
  <c r="F13" i="75"/>
  <c r="D12" i="75"/>
  <c r="D9" i="75"/>
  <c r="E16" i="75"/>
  <c r="C64" i="77" l="1"/>
  <c r="C63" i="77" s="1"/>
  <c r="D63" i="77"/>
  <c r="E64" i="77"/>
  <c r="E63" i="77" s="1"/>
  <c r="F63" i="77"/>
  <c r="H65" i="77"/>
  <c r="D33" i="76"/>
  <c r="G65" i="77"/>
  <c r="D5" i="176"/>
  <c r="D23" i="176" s="1"/>
  <c r="E5" i="176"/>
  <c r="H18" i="176"/>
  <c r="J18" i="176" s="1"/>
  <c r="E19" i="176"/>
  <c r="E18" i="176" s="1"/>
  <c r="I19" i="176"/>
  <c r="J19" i="176" s="1"/>
  <c r="F11" i="77"/>
  <c r="E11" i="77"/>
  <c r="D27" i="76"/>
  <c r="D25" i="76" s="1"/>
  <c r="D24" i="76" s="1"/>
  <c r="C17" i="76"/>
  <c r="C16" i="76" s="1"/>
  <c r="C7" i="76" s="1"/>
  <c r="C27" i="76"/>
  <c r="D8" i="75"/>
  <c r="E62" i="77" l="1"/>
  <c r="G63" i="77"/>
  <c r="H63" i="77"/>
  <c r="F62" i="77"/>
  <c r="D22" i="176"/>
  <c r="E23" i="176"/>
  <c r="E22" i="176" s="1"/>
  <c r="C25" i="76"/>
  <c r="C24" i="76" s="1"/>
  <c r="Q17" i="122" l="1"/>
  <c r="N17" i="122" s="1"/>
  <c r="Q18" i="122"/>
  <c r="Y89" i="122" l="1"/>
  <c r="AC112" i="122" l="1"/>
  <c r="Y203" i="122" l="1"/>
  <c r="D15" i="83" l="1"/>
  <c r="K16" i="81" s="1"/>
  <c r="D12" i="83"/>
  <c r="K13" i="81" s="1"/>
  <c r="D13" i="83"/>
  <c r="K14" i="81" s="1"/>
  <c r="I14" i="81" s="1"/>
  <c r="D14" i="83"/>
  <c r="D21" i="83"/>
  <c r="K22" i="81" s="1"/>
  <c r="I22" i="81" s="1"/>
  <c r="Q14" i="83" l="1"/>
  <c r="K15" i="81"/>
  <c r="I15" i="81" s="1"/>
  <c r="Q12" i="83"/>
  <c r="Q9" i="83" s="1"/>
  <c r="D9" i="83"/>
  <c r="K10" i="81" l="1"/>
  <c r="K9" i="81" s="1"/>
  <c r="H17" i="122"/>
  <c r="H23" i="122"/>
  <c r="T10" i="82" l="1"/>
  <c r="T14" i="82" l="1"/>
  <c r="T25" i="83" l="1"/>
  <c r="H9" i="84" l="1"/>
  <c r="I9" i="84"/>
  <c r="J9" i="84"/>
  <c r="J28" i="84" l="1"/>
  <c r="J8" i="84"/>
  <c r="K9" i="84"/>
  <c r="L16" i="81" l="1"/>
  <c r="I16" i="81" s="1"/>
  <c r="L13" i="81"/>
  <c r="I13" i="81" s="1"/>
  <c r="L12" i="81"/>
  <c r="X15" i="133"/>
  <c r="U15" i="133"/>
  <c r="R15" i="133"/>
  <c r="P15" i="133"/>
  <c r="L15" i="133"/>
  <c r="I15" i="133"/>
  <c r="F15" i="133"/>
  <c r="D15" i="133"/>
  <c r="X14" i="133"/>
  <c r="U14" i="133"/>
  <c r="R14" i="133"/>
  <c r="P14" i="133"/>
  <c r="L14" i="133"/>
  <c r="I14" i="133"/>
  <c r="F14" i="133"/>
  <c r="E14" i="133"/>
  <c r="D14" i="133"/>
  <c r="U13" i="133"/>
  <c r="R13" i="133"/>
  <c r="P13" i="133"/>
  <c r="L13" i="133"/>
  <c r="I13" i="133"/>
  <c r="F13" i="133"/>
  <c r="E13" i="133"/>
  <c r="X12" i="133"/>
  <c r="U12" i="133"/>
  <c r="R12" i="133"/>
  <c r="P12" i="133"/>
  <c r="L12" i="133"/>
  <c r="I12" i="133"/>
  <c r="F12" i="133"/>
  <c r="C18" i="80"/>
  <c r="AC13" i="133" l="1"/>
  <c r="AD14" i="133"/>
  <c r="L11" i="81"/>
  <c r="L10" i="81" s="1"/>
  <c r="L9" i="81" s="1"/>
  <c r="Z11" i="133"/>
  <c r="F11" i="81"/>
  <c r="O15" i="133"/>
  <c r="O12" i="133"/>
  <c r="C15" i="133"/>
  <c r="AD15" i="133"/>
  <c r="X13" i="133"/>
  <c r="C14" i="133"/>
  <c r="O14" i="133"/>
  <c r="C12" i="133"/>
  <c r="AD12" i="133"/>
  <c r="C13" i="133"/>
  <c r="T203" i="122"/>
  <c r="I161" i="122"/>
  <c r="J161" i="122"/>
  <c r="U161" i="122"/>
  <c r="D170" i="122"/>
  <c r="K170" i="122"/>
  <c r="S170" i="122"/>
  <c r="V168" i="122"/>
  <c r="V166" i="122" s="1"/>
  <c r="U168" i="122"/>
  <c r="S168" i="122" s="1"/>
  <c r="K168" i="122"/>
  <c r="D168" i="122"/>
  <c r="X167" i="122"/>
  <c r="X166" i="122" s="1"/>
  <c r="X161" i="122" s="1"/>
  <c r="T167" i="122"/>
  <c r="S167" i="122"/>
  <c r="O167" i="122"/>
  <c r="K167" i="122" s="1"/>
  <c r="E167" i="122"/>
  <c r="D167" i="122" s="1"/>
  <c r="Z166" i="122"/>
  <c r="R166" i="122"/>
  <c r="R161" i="122" s="1"/>
  <c r="Q166" i="122"/>
  <c r="Q161" i="122" s="1"/>
  <c r="P166" i="122"/>
  <c r="P161" i="122" s="1"/>
  <c r="O166" i="122"/>
  <c r="O161" i="122" s="1"/>
  <c r="N166" i="122"/>
  <c r="N161" i="122" s="1"/>
  <c r="M166" i="122"/>
  <c r="M161" i="122" s="1"/>
  <c r="H166" i="122"/>
  <c r="H161" i="122" s="1"/>
  <c r="G166" i="122"/>
  <c r="G161" i="122" s="1"/>
  <c r="F166" i="122"/>
  <c r="F161" i="122" s="1"/>
  <c r="S165" i="122"/>
  <c r="L165" i="122"/>
  <c r="K165" i="122" s="1"/>
  <c r="D165" i="122"/>
  <c r="O13" i="133" l="1"/>
  <c r="AD13" i="133"/>
  <c r="L161" i="122"/>
  <c r="AB12" i="133"/>
  <c r="AB15" i="133"/>
  <c r="AB14" i="133"/>
  <c r="C170" i="122"/>
  <c r="W170" i="122" s="1"/>
  <c r="Y170" i="122" s="1"/>
  <c r="C167" i="122"/>
  <c r="W167" i="122" s="1"/>
  <c r="C168" i="122"/>
  <c r="S166" i="122"/>
  <c r="K166" i="122"/>
  <c r="C165" i="122"/>
  <c r="W165" i="122" s="1"/>
  <c r="Y165" i="122" s="1"/>
  <c r="D166" i="122"/>
  <c r="U203" i="122"/>
  <c r="AB13" i="133" l="1"/>
  <c r="C166" i="122"/>
  <c r="W168" i="122"/>
  <c r="AA168" i="122" s="1"/>
  <c r="AA166" i="122" s="1"/>
  <c r="Y167" i="122"/>
  <c r="Y166" i="122" s="1"/>
  <c r="F45" i="80"/>
  <c r="F50" i="80"/>
  <c r="F48" i="80"/>
  <c r="F44" i="80"/>
  <c r="F40" i="80"/>
  <c r="F47" i="80"/>
  <c r="F39" i="80"/>
  <c r="F42" i="80"/>
  <c r="F38" i="80"/>
  <c r="AA161" i="122" l="1"/>
  <c r="W166" i="122"/>
  <c r="Y94" i="122"/>
  <c r="AA94" i="122"/>
  <c r="C9" i="87" l="1"/>
  <c r="H8" i="87"/>
  <c r="G8" i="87"/>
  <c r="F8" i="87"/>
  <c r="E8" i="87"/>
  <c r="D8" i="87"/>
  <c r="J10" i="85"/>
  <c r="T11" i="85"/>
  <c r="R10" i="85"/>
  <c r="Q10" i="85"/>
  <c r="M10" i="85"/>
  <c r="C8" i="87" l="1"/>
  <c r="N11" i="85"/>
  <c r="I11" i="85" s="1"/>
  <c r="I10" i="85" s="1"/>
  <c r="O10" i="85"/>
  <c r="P10" i="85"/>
  <c r="D10" i="85"/>
  <c r="T10" i="85" s="1"/>
  <c r="U11" i="85" l="1"/>
  <c r="N10" i="85"/>
  <c r="E10" i="85" l="1"/>
  <c r="L10" i="85"/>
  <c r="U10" i="85" l="1"/>
  <c r="N194" i="122"/>
  <c r="S203" i="122"/>
  <c r="T199" i="122"/>
  <c r="O199" i="122"/>
  <c r="S44" i="122" l="1"/>
  <c r="M204" i="122"/>
  <c r="N204" i="122"/>
  <c r="O204" i="122"/>
  <c r="P204" i="122"/>
  <c r="Q204" i="122"/>
  <c r="R204" i="122"/>
  <c r="T204" i="122"/>
  <c r="U204" i="122"/>
  <c r="V204" i="122"/>
  <c r="X204" i="122"/>
  <c r="Y204" i="122"/>
  <c r="Z204" i="122"/>
  <c r="AA204" i="122"/>
  <c r="E204" i="122"/>
  <c r="F204" i="122"/>
  <c r="G204" i="122"/>
  <c r="H204" i="122"/>
  <c r="I204" i="122"/>
  <c r="J204" i="122"/>
  <c r="Y93" i="122" l="1"/>
  <c r="X93" i="122"/>
  <c r="Z93" i="122"/>
  <c r="AA93" i="122"/>
  <c r="AA97" i="122"/>
  <c r="AA88" i="122" s="1"/>
  <c r="X173" i="122" l="1"/>
  <c r="Z173" i="122"/>
  <c r="AA173" i="122"/>
  <c r="L201" i="122"/>
  <c r="L203" i="122" s="1"/>
  <c r="Y103" i="122"/>
  <c r="AA103" i="122"/>
  <c r="AA104" i="122"/>
  <c r="U201" i="122"/>
  <c r="T201" i="122"/>
  <c r="H20" i="122"/>
  <c r="I20" i="122"/>
  <c r="J20" i="122"/>
  <c r="L20" i="122"/>
  <c r="M20" i="122"/>
  <c r="O20" i="122"/>
  <c r="Q20" i="122"/>
  <c r="R20" i="122"/>
  <c r="T20" i="122"/>
  <c r="H21" i="122"/>
  <c r="I21" i="122"/>
  <c r="J21" i="122"/>
  <c r="L21" i="122"/>
  <c r="M21" i="122"/>
  <c r="N21" i="122"/>
  <c r="O21" i="122"/>
  <c r="Q21" i="122"/>
  <c r="R21" i="122"/>
  <c r="T21" i="122"/>
  <c r="V20" i="122"/>
  <c r="X20" i="122"/>
  <c r="Y20" i="122"/>
  <c r="V21" i="122"/>
  <c r="X21" i="122"/>
  <c r="Y21" i="122"/>
  <c r="P16" i="122"/>
  <c r="AA102" i="122" l="1"/>
  <c r="K203" i="122" l="1"/>
  <c r="K26" i="122"/>
  <c r="K27" i="122"/>
  <c r="K32" i="122"/>
  <c r="K33" i="122"/>
  <c r="K35" i="122"/>
  <c r="K36" i="122"/>
  <c r="K38" i="122"/>
  <c r="K39" i="122"/>
  <c r="K44" i="122"/>
  <c r="K45" i="122"/>
  <c r="K53" i="122"/>
  <c r="K54" i="122"/>
  <c r="K56" i="122"/>
  <c r="K57" i="122"/>
  <c r="K61" i="122"/>
  <c r="K62" i="122"/>
  <c r="K63" i="122"/>
  <c r="K69" i="122"/>
  <c r="K70" i="122"/>
  <c r="K72" i="122"/>
  <c r="K73" i="122"/>
  <c r="K78" i="122"/>
  <c r="K79" i="122"/>
  <c r="K81" i="122"/>
  <c r="K82" i="122"/>
  <c r="K84" i="122"/>
  <c r="K85" i="122"/>
  <c r="K91" i="122"/>
  <c r="K92" i="122"/>
  <c r="K94" i="122"/>
  <c r="K95" i="122"/>
  <c r="K97" i="122"/>
  <c r="K98" i="122"/>
  <c r="K100" i="122"/>
  <c r="K101" i="122"/>
  <c r="K106" i="122"/>
  <c r="K107" i="122"/>
  <c r="K110" i="122"/>
  <c r="K111" i="122"/>
  <c r="K113" i="122"/>
  <c r="K114" i="122"/>
  <c r="K122" i="122"/>
  <c r="K123" i="122"/>
  <c r="K125" i="122"/>
  <c r="K126" i="122"/>
  <c r="K128" i="122"/>
  <c r="K129" i="122"/>
  <c r="K131" i="122"/>
  <c r="K132" i="122"/>
  <c r="K134" i="122"/>
  <c r="K135" i="122"/>
  <c r="K137" i="122"/>
  <c r="K138" i="122"/>
  <c r="K140" i="122"/>
  <c r="K141" i="122"/>
  <c r="K143" i="122"/>
  <c r="K144" i="122"/>
  <c r="K147" i="122"/>
  <c r="K148" i="122"/>
  <c r="K150" i="122"/>
  <c r="K151" i="122"/>
  <c r="K153" i="122"/>
  <c r="K154" i="122"/>
  <c r="K157" i="122"/>
  <c r="K158" i="122"/>
  <c r="K159" i="122"/>
  <c r="K162" i="122"/>
  <c r="K163" i="122"/>
  <c r="K164" i="122"/>
  <c r="K169" i="122"/>
  <c r="K171" i="122"/>
  <c r="K172" i="122"/>
  <c r="K174" i="122"/>
  <c r="K175" i="122"/>
  <c r="K176" i="122"/>
  <c r="K178" i="122"/>
  <c r="K182" i="122"/>
  <c r="K183" i="122"/>
  <c r="K184" i="122"/>
  <c r="K185" i="122"/>
  <c r="K186" i="122"/>
  <c r="K187" i="122"/>
  <c r="K188" i="122"/>
  <c r="K189" i="122"/>
  <c r="K190" i="122"/>
  <c r="K191" i="122"/>
  <c r="K192" i="122"/>
  <c r="K193" i="122"/>
  <c r="K196" i="122"/>
  <c r="K197" i="122"/>
  <c r="K200" i="122"/>
  <c r="K201" i="122"/>
  <c r="O103" i="122"/>
  <c r="P103" i="122"/>
  <c r="R103" i="122"/>
  <c r="O104" i="122"/>
  <c r="P104" i="122"/>
  <c r="R104" i="122"/>
  <c r="N88" i="122"/>
  <c r="O88" i="122"/>
  <c r="P88" i="122"/>
  <c r="Q88" i="122"/>
  <c r="R88" i="122"/>
  <c r="N89" i="122"/>
  <c r="O89" i="122"/>
  <c r="P89" i="122"/>
  <c r="Q89" i="122"/>
  <c r="R89" i="122"/>
  <c r="M88" i="122"/>
  <c r="N66" i="122"/>
  <c r="O66" i="122"/>
  <c r="P66" i="122"/>
  <c r="Q66" i="122"/>
  <c r="R66" i="122"/>
  <c r="N67" i="122"/>
  <c r="O67" i="122"/>
  <c r="P67" i="122"/>
  <c r="Q67" i="122"/>
  <c r="R67" i="122"/>
  <c r="P65" i="122" l="1"/>
  <c r="P64" i="122" s="1"/>
  <c r="K161" i="122"/>
  <c r="Q87" i="122"/>
  <c r="O65" i="122"/>
  <c r="O64" i="122" s="1"/>
  <c r="R87" i="122"/>
  <c r="R65" i="122"/>
  <c r="R64" i="122" s="1"/>
  <c r="Q65" i="122"/>
  <c r="Q64" i="122" s="1"/>
  <c r="P87" i="122"/>
  <c r="L205" i="122"/>
  <c r="L204" i="122" s="1"/>
  <c r="K205" i="122" l="1"/>
  <c r="K204" i="122" s="1"/>
  <c r="V181" i="122" l="1"/>
  <c r="V182" i="122" l="1"/>
  <c r="S182" i="122"/>
  <c r="D182" i="122"/>
  <c r="C182" i="122" s="1"/>
  <c r="N198" i="122"/>
  <c r="K198" i="122" s="1"/>
  <c r="E99" i="122"/>
  <c r="F99" i="122"/>
  <c r="H99" i="122"/>
  <c r="I99" i="122"/>
  <c r="J99" i="122"/>
  <c r="L99" i="122"/>
  <c r="M99" i="122"/>
  <c r="N99" i="122"/>
  <c r="O99" i="122"/>
  <c r="P99" i="122"/>
  <c r="Q99" i="122"/>
  <c r="R99" i="122"/>
  <c r="T99" i="122"/>
  <c r="U99" i="122"/>
  <c r="V99" i="122"/>
  <c r="X99" i="122"/>
  <c r="Y99" i="122"/>
  <c r="Z99" i="122"/>
  <c r="AA99" i="122"/>
  <c r="K99" i="122" l="1"/>
  <c r="W182" i="122"/>
  <c r="Y182" i="122" s="1"/>
  <c r="V201" i="122" l="1"/>
  <c r="S201" i="122"/>
  <c r="D201" i="122"/>
  <c r="V200" i="122"/>
  <c r="S200" i="122"/>
  <c r="D200" i="122"/>
  <c r="S181" i="122"/>
  <c r="L181" i="122"/>
  <c r="D181" i="122"/>
  <c r="V180" i="122"/>
  <c r="S180" i="122"/>
  <c r="L180" i="122"/>
  <c r="D180" i="122"/>
  <c r="V186" i="122"/>
  <c r="S186" i="122"/>
  <c r="D186" i="122"/>
  <c r="V185" i="122"/>
  <c r="S185" i="122"/>
  <c r="D185" i="122"/>
  <c r="V184" i="122"/>
  <c r="T184" i="122"/>
  <c r="D184" i="122"/>
  <c r="V183" i="122"/>
  <c r="S183" i="122"/>
  <c r="D183" i="122"/>
  <c r="Z156" i="122"/>
  <c r="Z155" i="122" s="1"/>
  <c r="X156" i="122"/>
  <c r="X155" i="122" s="1"/>
  <c r="E163" i="122"/>
  <c r="E161" i="122" s="1"/>
  <c r="J203" i="122"/>
  <c r="N23" i="122"/>
  <c r="P23" i="122" s="1"/>
  <c r="E16" i="122"/>
  <c r="F16" i="122"/>
  <c r="I16" i="122"/>
  <c r="J16" i="122"/>
  <c r="L16" i="122"/>
  <c r="M16" i="122"/>
  <c r="O16" i="122"/>
  <c r="R16" i="122"/>
  <c r="T16" i="122"/>
  <c r="U16" i="122"/>
  <c r="V16" i="122"/>
  <c r="X16" i="122"/>
  <c r="Y16" i="122"/>
  <c r="AA16" i="122"/>
  <c r="K180" i="122" l="1"/>
  <c r="C180" i="122" s="1"/>
  <c r="S184" i="122"/>
  <c r="F46" i="80"/>
  <c r="K181" i="122"/>
  <c r="C181" i="122" s="1"/>
  <c r="W181" i="122" s="1"/>
  <c r="K18" i="122"/>
  <c r="P20" i="122"/>
  <c r="N20" i="122"/>
  <c r="K23" i="122"/>
  <c r="K20" i="122" s="1"/>
  <c r="K17" i="122"/>
  <c r="Q16" i="122"/>
  <c r="C201" i="122"/>
  <c r="C183" i="122"/>
  <c r="C200" i="122"/>
  <c r="C186" i="122"/>
  <c r="C185" i="122"/>
  <c r="C184" i="122"/>
  <c r="N16" i="122" l="1"/>
  <c r="K16" i="122" s="1"/>
  <c r="W186" i="122"/>
  <c r="Y186" i="122" s="1"/>
  <c r="W185" i="122"/>
  <c r="Y185" i="122" s="1"/>
  <c r="W184" i="122"/>
  <c r="Y184" i="122" s="1"/>
  <c r="W180" i="122"/>
  <c r="Y180" i="122" s="1"/>
  <c r="W200" i="122"/>
  <c r="Y200" i="122" s="1"/>
  <c r="Y181" i="122"/>
  <c r="W183" i="122"/>
  <c r="Y183" i="122" s="1"/>
  <c r="W201" i="122"/>
  <c r="N195" i="122"/>
  <c r="K195" i="122" s="1"/>
  <c r="U88" i="122" l="1"/>
  <c r="V88" i="122"/>
  <c r="X88" i="122"/>
  <c r="X89" i="122"/>
  <c r="AA89" i="122"/>
  <c r="T88" i="122"/>
  <c r="L52" i="122"/>
  <c r="I93" i="122"/>
  <c r="J93" i="122"/>
  <c r="L93" i="122"/>
  <c r="M93" i="122"/>
  <c r="N93" i="122"/>
  <c r="O93" i="122"/>
  <c r="Q93" i="122"/>
  <c r="R93" i="122"/>
  <c r="O87" i="122"/>
  <c r="V169" i="122"/>
  <c r="X87" i="122" l="1"/>
  <c r="AA87" i="122"/>
  <c r="AA86" i="122" s="1"/>
  <c r="O102" i="122"/>
  <c r="P102" i="122"/>
  <c r="P86" i="122" s="1"/>
  <c r="R102" i="122"/>
  <c r="R86" i="122" s="1"/>
  <c r="O86" i="122" l="1"/>
  <c r="E96" i="122"/>
  <c r="F96" i="122"/>
  <c r="G96" i="122"/>
  <c r="H96" i="122"/>
  <c r="I96" i="122"/>
  <c r="H92" i="122"/>
  <c r="H91" i="122"/>
  <c r="D91" i="122" s="1"/>
  <c r="G101" i="122"/>
  <c r="G89" i="122" s="1"/>
  <c r="G100" i="122"/>
  <c r="G99" i="122" s="1"/>
  <c r="Z96" i="122"/>
  <c r="D97" i="122"/>
  <c r="X96" i="122"/>
  <c r="AA96" i="122"/>
  <c r="T93" i="122"/>
  <c r="P93" i="122" l="1"/>
  <c r="K93" i="122" s="1"/>
  <c r="E90" i="122"/>
  <c r="F90" i="122"/>
  <c r="G90" i="122"/>
  <c r="H90" i="122"/>
  <c r="I90" i="122"/>
  <c r="J90" i="122"/>
  <c r="L90" i="122"/>
  <c r="M90" i="122"/>
  <c r="N90" i="122"/>
  <c r="O90" i="122"/>
  <c r="P90" i="122"/>
  <c r="Q90" i="122"/>
  <c r="R90" i="122"/>
  <c r="T90" i="122"/>
  <c r="U90" i="122"/>
  <c r="V90" i="122"/>
  <c r="X90" i="122"/>
  <c r="Y90" i="122"/>
  <c r="AA90" i="122"/>
  <c r="D62" i="122"/>
  <c r="D61" i="122"/>
  <c r="U62" i="122"/>
  <c r="J60" i="122"/>
  <c r="J59" i="122" s="1"/>
  <c r="X60" i="122"/>
  <c r="Z60" i="122"/>
  <c r="Z59" i="122" s="1"/>
  <c r="AA60" i="122"/>
  <c r="AA59" i="122" s="1"/>
  <c r="X59" i="122" l="1"/>
  <c r="K90" i="122"/>
  <c r="Y60" i="122"/>
  <c r="E60" i="122" l="1"/>
  <c r="E59" i="122" s="1"/>
  <c r="F60" i="122"/>
  <c r="F59" i="122" s="1"/>
  <c r="G60" i="122"/>
  <c r="G59" i="122" s="1"/>
  <c r="H60" i="122"/>
  <c r="H59" i="122" s="1"/>
  <c r="I60" i="122"/>
  <c r="I59" i="122" s="1"/>
  <c r="L60" i="122"/>
  <c r="M60" i="122"/>
  <c r="M59" i="122" s="1"/>
  <c r="N60" i="122"/>
  <c r="N59" i="122" s="1"/>
  <c r="O60" i="122"/>
  <c r="O59" i="122" s="1"/>
  <c r="P60" i="122"/>
  <c r="P59" i="122" s="1"/>
  <c r="P58" i="122" s="1"/>
  <c r="Q60" i="122"/>
  <c r="Q59" i="122" s="1"/>
  <c r="Q58" i="122" s="1"/>
  <c r="R60" i="122"/>
  <c r="R59" i="122" s="1"/>
  <c r="T60" i="122"/>
  <c r="T59" i="122" s="1"/>
  <c r="U60" i="122"/>
  <c r="U59" i="122" s="1"/>
  <c r="V60" i="122"/>
  <c r="V59" i="122" s="1"/>
  <c r="N117" i="122"/>
  <c r="N116" i="122"/>
  <c r="Q116" i="122" l="1"/>
  <c r="K116" i="122"/>
  <c r="Q117" i="122"/>
  <c r="Q104" i="122" s="1"/>
  <c r="L59" i="122"/>
  <c r="K59" i="122" s="1"/>
  <c r="K60" i="122"/>
  <c r="D63" i="122"/>
  <c r="D60" i="122"/>
  <c r="G173" i="122"/>
  <c r="H173" i="122"/>
  <c r="I173" i="122"/>
  <c r="D155" i="122"/>
  <c r="D92" i="122"/>
  <c r="K117" i="122" l="1"/>
  <c r="Q115" i="122"/>
  <c r="Q103" i="122"/>
  <c r="Q102" i="122" s="1"/>
  <c r="Q86" i="122" s="1"/>
  <c r="D59" i="122"/>
  <c r="E88" i="122" l="1"/>
  <c r="F88" i="122"/>
  <c r="G88" i="122"/>
  <c r="H88" i="122"/>
  <c r="E89" i="122"/>
  <c r="F89" i="122"/>
  <c r="H89" i="122"/>
  <c r="E93" i="122"/>
  <c r="F93" i="122"/>
  <c r="G93" i="122"/>
  <c r="H93" i="122"/>
  <c r="H87" i="122" l="1"/>
  <c r="E87" i="122"/>
  <c r="F87" i="122"/>
  <c r="G87" i="122"/>
  <c r="I88" i="122" l="1"/>
  <c r="J88" i="122"/>
  <c r="I89" i="122"/>
  <c r="J89" i="122"/>
  <c r="I87" i="122" l="1"/>
  <c r="J87" i="122"/>
  <c r="U95" i="122" l="1"/>
  <c r="U89" i="122" l="1"/>
  <c r="U87" i="122" s="1"/>
  <c r="U93" i="122"/>
  <c r="S95" i="122"/>
  <c r="S94" i="122"/>
  <c r="S93" i="122" l="1"/>
  <c r="P48" i="122"/>
  <c r="K48" i="122" s="1"/>
  <c r="P47" i="122"/>
  <c r="K47" i="122" s="1"/>
  <c r="P24" i="122"/>
  <c r="P21" i="122" l="1"/>
  <c r="K24" i="122"/>
  <c r="K21" i="122" s="1"/>
  <c r="V163" i="122"/>
  <c r="V161" i="122" s="1"/>
  <c r="T163" i="122"/>
  <c r="U144" i="122"/>
  <c r="U143" i="122"/>
  <c r="T143" i="122"/>
  <c r="T103" i="122" s="1"/>
  <c r="T144" i="122"/>
  <c r="U53" i="122"/>
  <c r="G160" i="122"/>
  <c r="H160" i="122"/>
  <c r="I160" i="122"/>
  <c r="H11" i="80"/>
  <c r="X160" i="122"/>
  <c r="K11" i="80" l="1"/>
  <c r="H10" i="80"/>
  <c r="T161" i="122"/>
  <c r="T142" i="122"/>
  <c r="J173" i="122" l="1"/>
  <c r="J160" i="122" s="1"/>
  <c r="F203" i="122"/>
  <c r="F173" i="122" s="1"/>
  <c r="F160" i="122" s="1"/>
  <c r="K199" i="122" l="1"/>
  <c r="T194" i="122" l="1"/>
  <c r="E199" i="122" l="1"/>
  <c r="E173" i="122" s="1"/>
  <c r="E160" i="122" s="1"/>
  <c r="T177" i="122"/>
  <c r="F41" i="80" l="1"/>
  <c r="N87" i="122"/>
  <c r="T192" i="122"/>
  <c r="K194" i="122"/>
  <c r="U194" i="122" l="1"/>
  <c r="U197" i="122"/>
  <c r="T191" i="122" l="1"/>
  <c r="F52" i="80" l="1"/>
  <c r="S172" i="122"/>
  <c r="D171" i="122"/>
  <c r="D172" i="122"/>
  <c r="M75" i="122"/>
  <c r="S63" i="122"/>
  <c r="M66" i="122" l="1"/>
  <c r="K75" i="122"/>
  <c r="C172" i="122"/>
  <c r="C63" i="122"/>
  <c r="W172" i="122" l="1"/>
  <c r="Y172" i="122" s="1"/>
  <c r="W63" i="122"/>
  <c r="Y63" i="122" s="1"/>
  <c r="Y59" i="122" l="1"/>
  <c r="S171" i="122"/>
  <c r="C171" i="122" l="1"/>
  <c r="M173" i="122"/>
  <c r="V188" i="122"/>
  <c r="W171" i="122" l="1"/>
  <c r="C28" i="80"/>
  <c r="T193" i="122" l="1"/>
  <c r="C193" i="122"/>
  <c r="N173" i="122"/>
  <c r="T173" i="122" l="1"/>
  <c r="T160" i="122" s="1"/>
  <c r="S193" i="122"/>
  <c r="W193" i="122" s="1"/>
  <c r="L179" i="122" l="1"/>
  <c r="L177" i="122"/>
  <c r="K177" i="122" l="1"/>
  <c r="K179" i="122"/>
  <c r="V175" i="122"/>
  <c r="V176" i="122"/>
  <c r="V177" i="122"/>
  <c r="V178" i="122"/>
  <c r="V179" i="122"/>
  <c r="V174" i="122"/>
  <c r="X154" i="122" l="1"/>
  <c r="X153" i="122"/>
  <c r="G140" i="122"/>
  <c r="V157" i="122" l="1"/>
  <c r="F103" i="122"/>
  <c r="I103" i="122"/>
  <c r="J103" i="122"/>
  <c r="L103" i="122"/>
  <c r="M103" i="122"/>
  <c r="N103" i="122"/>
  <c r="U103" i="122"/>
  <c r="V103" i="122"/>
  <c r="F104" i="122"/>
  <c r="H104" i="122"/>
  <c r="I104" i="122"/>
  <c r="J104" i="122"/>
  <c r="L104" i="122"/>
  <c r="M104" i="122"/>
  <c r="N104" i="122"/>
  <c r="U104" i="122"/>
  <c r="M102" i="122" l="1"/>
  <c r="U102" i="122"/>
  <c r="U86" i="122" s="1"/>
  <c r="L102" i="122"/>
  <c r="K103" i="122"/>
  <c r="K104" i="122"/>
  <c r="I102" i="122"/>
  <c r="I86" i="122" s="1"/>
  <c r="N102" i="122"/>
  <c r="N86" i="122" s="1"/>
  <c r="J102" i="122"/>
  <c r="J86" i="122" s="1"/>
  <c r="F102" i="122"/>
  <c r="F86" i="122" s="1"/>
  <c r="S154" i="122"/>
  <c r="S153" i="122"/>
  <c r="X152" i="122"/>
  <c r="E152" i="122"/>
  <c r="F152" i="122"/>
  <c r="H152" i="122"/>
  <c r="I152" i="122"/>
  <c r="J152" i="122"/>
  <c r="L152" i="122"/>
  <c r="M152" i="122"/>
  <c r="N152" i="122"/>
  <c r="O152" i="122"/>
  <c r="P152" i="122"/>
  <c r="Q152" i="122"/>
  <c r="R152" i="122"/>
  <c r="T152" i="122"/>
  <c r="U152" i="122"/>
  <c r="V152" i="122"/>
  <c r="Y152" i="122"/>
  <c r="AA152" i="122"/>
  <c r="G154" i="122"/>
  <c r="G152" i="122" s="1"/>
  <c r="F149" i="122"/>
  <c r="H149" i="122"/>
  <c r="I149" i="122"/>
  <c r="J149" i="122"/>
  <c r="L149" i="122"/>
  <c r="M149" i="122"/>
  <c r="N149" i="122"/>
  <c r="O149" i="122"/>
  <c r="P149" i="122"/>
  <c r="Q149" i="122"/>
  <c r="R149" i="122"/>
  <c r="T149" i="122"/>
  <c r="U149" i="122"/>
  <c r="V149" i="122"/>
  <c r="Y149" i="122"/>
  <c r="Z149" i="122"/>
  <c r="AA149" i="122"/>
  <c r="E149" i="122"/>
  <c r="G150" i="122"/>
  <c r="G149" i="122" s="1"/>
  <c r="K149" i="122" l="1"/>
  <c r="K152" i="122"/>
  <c r="K102" i="122"/>
  <c r="E146" i="122"/>
  <c r="E145" i="122" s="1"/>
  <c r="F146" i="122"/>
  <c r="F145" i="122" s="1"/>
  <c r="H146" i="122"/>
  <c r="H145" i="122" s="1"/>
  <c r="I146" i="122"/>
  <c r="I145" i="122" s="1"/>
  <c r="J146" i="122"/>
  <c r="J145" i="122" s="1"/>
  <c r="L146" i="122"/>
  <c r="M146" i="122"/>
  <c r="M145" i="122" s="1"/>
  <c r="N146" i="122"/>
  <c r="N145" i="122" s="1"/>
  <c r="O146" i="122"/>
  <c r="O145" i="122" s="1"/>
  <c r="P146" i="122"/>
  <c r="P145" i="122" s="1"/>
  <c r="Q146" i="122"/>
  <c r="Q145" i="122" s="1"/>
  <c r="R146" i="122"/>
  <c r="R145" i="122" s="1"/>
  <c r="T146" i="122"/>
  <c r="U146" i="122"/>
  <c r="V146" i="122"/>
  <c r="Y146" i="122"/>
  <c r="Y145" i="122" s="1"/>
  <c r="Z146" i="122"/>
  <c r="AA146" i="122"/>
  <c r="G148" i="122"/>
  <c r="G147" i="122"/>
  <c r="G146" i="122" s="1"/>
  <c r="G145" i="122" s="1"/>
  <c r="D143" i="122"/>
  <c r="D144" i="122"/>
  <c r="E142" i="122"/>
  <c r="F142" i="122"/>
  <c r="G142" i="122"/>
  <c r="H142" i="122"/>
  <c r="I142" i="122"/>
  <c r="J142" i="122"/>
  <c r="L142" i="122"/>
  <c r="M142" i="122"/>
  <c r="N142" i="122"/>
  <c r="O142" i="122"/>
  <c r="P142" i="122"/>
  <c r="Q142" i="122"/>
  <c r="R142" i="122"/>
  <c r="U142" i="122"/>
  <c r="V142" i="122"/>
  <c r="X142" i="122"/>
  <c r="Y142" i="122"/>
  <c r="AA142" i="122"/>
  <c r="L145" i="122" l="1"/>
  <c r="K146" i="122"/>
  <c r="K145" i="122" s="1"/>
  <c r="K142" i="122"/>
  <c r="C143" i="122"/>
  <c r="D142" i="122"/>
  <c r="E139" i="122" l="1"/>
  <c r="F139" i="122"/>
  <c r="G139" i="122"/>
  <c r="H139" i="122"/>
  <c r="I139" i="122"/>
  <c r="J139" i="122"/>
  <c r="L139" i="122"/>
  <c r="M139" i="122"/>
  <c r="N139" i="122"/>
  <c r="O139" i="122"/>
  <c r="P139" i="122"/>
  <c r="Q139" i="122"/>
  <c r="R139" i="122"/>
  <c r="T139" i="122"/>
  <c r="U139" i="122"/>
  <c r="V139" i="122"/>
  <c r="X139" i="122"/>
  <c r="Y139" i="122"/>
  <c r="AA139" i="122"/>
  <c r="D141" i="122"/>
  <c r="D140" i="122"/>
  <c r="S140" i="122"/>
  <c r="U136" i="122"/>
  <c r="V136" i="122"/>
  <c r="X136" i="122"/>
  <c r="E136" i="122"/>
  <c r="F136" i="122"/>
  <c r="H136" i="122"/>
  <c r="I136" i="122"/>
  <c r="J136" i="122"/>
  <c r="L136" i="122"/>
  <c r="M136" i="122"/>
  <c r="N136" i="122"/>
  <c r="O136" i="122"/>
  <c r="P136" i="122"/>
  <c r="Q136" i="122"/>
  <c r="R136" i="122"/>
  <c r="Z136" i="122"/>
  <c r="AA136" i="122"/>
  <c r="G137" i="122"/>
  <c r="G136" i="122" s="1"/>
  <c r="E133" i="122"/>
  <c r="F133" i="122"/>
  <c r="G133" i="122"/>
  <c r="H133" i="122"/>
  <c r="I133" i="122"/>
  <c r="J133" i="122"/>
  <c r="L133" i="122"/>
  <c r="M133" i="122"/>
  <c r="N133" i="122"/>
  <c r="O133" i="122"/>
  <c r="P133" i="122"/>
  <c r="Q133" i="122"/>
  <c r="R133" i="122"/>
  <c r="T133" i="122"/>
  <c r="U133" i="122"/>
  <c r="Y133" i="122"/>
  <c r="Z133" i="122"/>
  <c r="AA133" i="122"/>
  <c r="E130" i="122"/>
  <c r="F130" i="122"/>
  <c r="H130" i="122"/>
  <c r="I130" i="122"/>
  <c r="J130" i="122"/>
  <c r="L130" i="122"/>
  <c r="M130" i="122"/>
  <c r="N130" i="122"/>
  <c r="O130" i="122"/>
  <c r="P130" i="122"/>
  <c r="Q130" i="122"/>
  <c r="R130" i="122"/>
  <c r="T130" i="122"/>
  <c r="U130" i="122"/>
  <c r="V130" i="122"/>
  <c r="Y130" i="122"/>
  <c r="Z130" i="122"/>
  <c r="AA130" i="122"/>
  <c r="G131" i="122"/>
  <c r="G119" i="122" s="1"/>
  <c r="E127" i="122"/>
  <c r="F127" i="122"/>
  <c r="H127" i="122"/>
  <c r="I127" i="122"/>
  <c r="J127" i="122"/>
  <c r="L127" i="122"/>
  <c r="M127" i="122"/>
  <c r="N127" i="122"/>
  <c r="O127" i="122"/>
  <c r="P127" i="122"/>
  <c r="Q127" i="122"/>
  <c r="R127" i="122"/>
  <c r="T127" i="122"/>
  <c r="U127" i="122"/>
  <c r="V127" i="122"/>
  <c r="Y127" i="122"/>
  <c r="Z127" i="122"/>
  <c r="AA127" i="122"/>
  <c r="G129" i="122"/>
  <c r="G120" i="122" s="1"/>
  <c r="Y124" i="122"/>
  <c r="Z124" i="122"/>
  <c r="AA124" i="122"/>
  <c r="Y121" i="122"/>
  <c r="Z121" i="122"/>
  <c r="AA121" i="122"/>
  <c r="T121" i="122"/>
  <c r="E119" i="122"/>
  <c r="F119" i="122"/>
  <c r="H119" i="122"/>
  <c r="I119" i="122"/>
  <c r="J119" i="122"/>
  <c r="L119" i="122"/>
  <c r="M119" i="122"/>
  <c r="N119" i="122"/>
  <c r="O119" i="122"/>
  <c r="P119" i="122"/>
  <c r="Q119" i="122"/>
  <c r="R119" i="122"/>
  <c r="U119" i="122"/>
  <c r="V119" i="122"/>
  <c r="Y119" i="122"/>
  <c r="Z119" i="122"/>
  <c r="AA119" i="122"/>
  <c r="E120" i="122"/>
  <c r="F120" i="122"/>
  <c r="H120" i="122"/>
  <c r="I120" i="122"/>
  <c r="J120" i="122"/>
  <c r="L120" i="122"/>
  <c r="M120" i="122"/>
  <c r="N120" i="122"/>
  <c r="O120" i="122"/>
  <c r="P120" i="122"/>
  <c r="Q120" i="122"/>
  <c r="R120" i="122"/>
  <c r="U120" i="122"/>
  <c r="V120" i="122"/>
  <c r="Y120" i="122"/>
  <c r="Z120" i="122"/>
  <c r="AA120" i="122"/>
  <c r="D116" i="122"/>
  <c r="G117" i="122"/>
  <c r="G115" i="122" s="1"/>
  <c r="E115" i="122"/>
  <c r="F115" i="122"/>
  <c r="H115" i="122"/>
  <c r="I115" i="122"/>
  <c r="J115" i="122"/>
  <c r="L115" i="122"/>
  <c r="M115" i="122"/>
  <c r="N115" i="122"/>
  <c r="O115" i="122"/>
  <c r="P115" i="122"/>
  <c r="R115" i="122"/>
  <c r="T115" i="122"/>
  <c r="U115" i="122"/>
  <c r="V115" i="122"/>
  <c r="X115" i="122"/>
  <c r="Y115" i="122"/>
  <c r="AA115" i="122"/>
  <c r="E113" i="122"/>
  <c r="E103" i="122" s="1"/>
  <c r="E114" i="122"/>
  <c r="E104" i="122" s="1"/>
  <c r="F112" i="122"/>
  <c r="G112" i="122"/>
  <c r="H112" i="122"/>
  <c r="I112" i="122"/>
  <c r="J112" i="122"/>
  <c r="L112" i="122"/>
  <c r="M112" i="122"/>
  <c r="N112" i="122"/>
  <c r="O112" i="122"/>
  <c r="P112" i="122"/>
  <c r="Q112" i="122"/>
  <c r="R112" i="122"/>
  <c r="T112" i="122"/>
  <c r="U112" i="122"/>
  <c r="V112" i="122"/>
  <c r="X112" i="122"/>
  <c r="AA112" i="122"/>
  <c r="H110" i="122"/>
  <c r="H103" i="122" s="1"/>
  <c r="H102" i="122" s="1"/>
  <c r="H86" i="122" s="1"/>
  <c r="O109" i="122"/>
  <c r="P109" i="122"/>
  <c r="Q109" i="122"/>
  <c r="R109" i="122"/>
  <c r="U109" i="122"/>
  <c r="V109" i="122"/>
  <c r="L109" i="122"/>
  <c r="M109" i="122"/>
  <c r="N109" i="122"/>
  <c r="X109" i="122"/>
  <c r="Y109" i="122"/>
  <c r="AA109" i="122"/>
  <c r="K127" i="122" l="1"/>
  <c r="T108" i="122"/>
  <c r="K133" i="122"/>
  <c r="E102" i="122"/>
  <c r="E86" i="122" s="1"/>
  <c r="K136" i="122"/>
  <c r="K139" i="122"/>
  <c r="K120" i="122"/>
  <c r="N108" i="122"/>
  <c r="K112" i="122"/>
  <c r="K130" i="122"/>
  <c r="K109" i="122"/>
  <c r="K115" i="122"/>
  <c r="K119" i="122"/>
  <c r="Q108" i="122"/>
  <c r="N118" i="122"/>
  <c r="C140" i="122"/>
  <c r="M108" i="122"/>
  <c r="X108" i="122"/>
  <c r="L108" i="122"/>
  <c r="AA108" i="122"/>
  <c r="V108" i="122"/>
  <c r="R108" i="122"/>
  <c r="P118" i="122"/>
  <c r="U108" i="122"/>
  <c r="O108" i="122"/>
  <c r="L118" i="122"/>
  <c r="AA118" i="122"/>
  <c r="J118" i="122"/>
  <c r="P108" i="122"/>
  <c r="I118" i="122"/>
  <c r="Y118" i="122"/>
  <c r="H118" i="122"/>
  <c r="V118" i="122"/>
  <c r="F118" i="122"/>
  <c r="G130" i="122"/>
  <c r="E118" i="122"/>
  <c r="E112" i="122"/>
  <c r="R118" i="122"/>
  <c r="U118" i="122"/>
  <c r="D113" i="122"/>
  <c r="Q118" i="122"/>
  <c r="G127" i="122"/>
  <c r="D114" i="122"/>
  <c r="C114" i="122" s="1"/>
  <c r="O118" i="122"/>
  <c r="H109" i="122"/>
  <c r="H108" i="122" s="1"/>
  <c r="G118" i="122"/>
  <c r="D139" i="122"/>
  <c r="Z118" i="122"/>
  <c r="M118" i="122"/>
  <c r="W140" i="122" l="1"/>
  <c r="K108" i="122"/>
  <c r="K118" i="122"/>
  <c r="D110" i="122"/>
  <c r="E109" i="122"/>
  <c r="E108" i="122" s="1"/>
  <c r="F109" i="122"/>
  <c r="F108" i="122" s="1"/>
  <c r="G109" i="122"/>
  <c r="G108" i="122" s="1"/>
  <c r="I109" i="122"/>
  <c r="I108" i="122" s="1"/>
  <c r="J109" i="122"/>
  <c r="J108" i="122" s="1"/>
  <c r="D109" i="122" l="1"/>
  <c r="C110" i="122"/>
  <c r="C144" i="122"/>
  <c r="C141" i="122"/>
  <c r="C116" i="122"/>
  <c r="E105" i="122"/>
  <c r="F105" i="122"/>
  <c r="I105" i="122"/>
  <c r="J105" i="122"/>
  <c r="L105" i="122"/>
  <c r="M105" i="122"/>
  <c r="N105" i="122"/>
  <c r="O105" i="122"/>
  <c r="P105" i="122"/>
  <c r="Q105" i="122"/>
  <c r="R105" i="122"/>
  <c r="T105" i="122"/>
  <c r="U105" i="122"/>
  <c r="V105" i="122"/>
  <c r="X105" i="122"/>
  <c r="Y105" i="122"/>
  <c r="AA105" i="122"/>
  <c r="G106" i="122"/>
  <c r="G103" i="122" s="1"/>
  <c r="G107" i="122"/>
  <c r="G104" i="122" s="1"/>
  <c r="K105" i="122" l="1"/>
  <c r="G102" i="122"/>
  <c r="G86" i="122" s="1"/>
  <c r="G105" i="122"/>
  <c r="D106" i="122"/>
  <c r="C106" i="122" s="1"/>
  <c r="C113" i="122"/>
  <c r="C109" i="122"/>
  <c r="C139" i="122"/>
  <c r="C142" i="122"/>
  <c r="E77" i="122" l="1"/>
  <c r="F77" i="122"/>
  <c r="G77" i="122"/>
  <c r="H77" i="122"/>
  <c r="I77" i="122"/>
  <c r="J77" i="122"/>
  <c r="L77" i="122"/>
  <c r="M77" i="122"/>
  <c r="N77" i="122"/>
  <c r="O77" i="122"/>
  <c r="P77" i="122"/>
  <c r="Q77" i="122"/>
  <c r="R77" i="122"/>
  <c r="T77" i="122"/>
  <c r="V77" i="122"/>
  <c r="X77" i="122"/>
  <c r="Y77" i="122"/>
  <c r="AA77" i="122"/>
  <c r="N74" i="122"/>
  <c r="O74" i="122"/>
  <c r="P74" i="122"/>
  <c r="Q74" i="122"/>
  <c r="R74" i="122"/>
  <c r="M76" i="122"/>
  <c r="K76" i="122" s="1"/>
  <c r="G65" i="122"/>
  <c r="G64" i="122" s="1"/>
  <c r="H65" i="122"/>
  <c r="H64" i="122" s="1"/>
  <c r="F71" i="122"/>
  <c r="G71" i="122"/>
  <c r="H71" i="122"/>
  <c r="I71" i="122"/>
  <c r="J71" i="122"/>
  <c r="E73" i="122"/>
  <c r="E72" i="122"/>
  <c r="D78" i="122"/>
  <c r="C78" i="122" s="1"/>
  <c r="D23" i="122"/>
  <c r="G24" i="122"/>
  <c r="G21" i="122" s="1"/>
  <c r="E20" i="122"/>
  <c r="F20" i="122"/>
  <c r="AA20" i="122"/>
  <c r="E21" i="122"/>
  <c r="F21" i="122"/>
  <c r="AA21" i="122"/>
  <c r="E22" i="122"/>
  <c r="F22" i="122"/>
  <c r="H22" i="122"/>
  <c r="I22" i="122"/>
  <c r="J22" i="122"/>
  <c r="L22" i="122"/>
  <c r="M22" i="122"/>
  <c r="N22" i="122"/>
  <c r="O22" i="122"/>
  <c r="Q22" i="122"/>
  <c r="R22" i="122"/>
  <c r="T22" i="122"/>
  <c r="V22" i="122"/>
  <c r="X22" i="122"/>
  <c r="Y22" i="122"/>
  <c r="AA22" i="122"/>
  <c r="H18" i="122"/>
  <c r="H16" i="122" s="1"/>
  <c r="G17" i="122"/>
  <c r="P22" i="122"/>
  <c r="C54" i="122"/>
  <c r="E50" i="122"/>
  <c r="F50" i="122"/>
  <c r="G50" i="122"/>
  <c r="H50" i="122"/>
  <c r="I50" i="122"/>
  <c r="J50" i="122"/>
  <c r="L50" i="122"/>
  <c r="M50" i="122"/>
  <c r="N50" i="122"/>
  <c r="O50" i="122"/>
  <c r="P50" i="122"/>
  <c r="Q50" i="122"/>
  <c r="R50" i="122"/>
  <c r="T50" i="122"/>
  <c r="V50" i="122"/>
  <c r="Y50" i="122"/>
  <c r="Z50" i="122"/>
  <c r="AA50" i="122"/>
  <c r="E51" i="122"/>
  <c r="F51" i="122"/>
  <c r="G51" i="122"/>
  <c r="H51" i="122"/>
  <c r="I51" i="122"/>
  <c r="J51" i="122"/>
  <c r="L51" i="122"/>
  <c r="M51" i="122"/>
  <c r="N51" i="122"/>
  <c r="O51" i="122"/>
  <c r="P51" i="122"/>
  <c r="Q51" i="122"/>
  <c r="R51" i="122"/>
  <c r="T51" i="122"/>
  <c r="V51" i="122"/>
  <c r="X51" i="122"/>
  <c r="Y51" i="122"/>
  <c r="Z51" i="122"/>
  <c r="AA51" i="122"/>
  <c r="AA13" i="122"/>
  <c r="AA12" i="122" s="1"/>
  <c r="F29" i="122"/>
  <c r="H29" i="122"/>
  <c r="I29" i="122"/>
  <c r="J29" i="122"/>
  <c r="L29" i="122"/>
  <c r="M29" i="122"/>
  <c r="N29" i="122"/>
  <c r="O29" i="122"/>
  <c r="P29" i="122"/>
  <c r="Q29" i="122"/>
  <c r="R29" i="122"/>
  <c r="T29" i="122"/>
  <c r="U29" i="122"/>
  <c r="V29" i="122"/>
  <c r="Y29" i="122"/>
  <c r="Z29" i="122"/>
  <c r="AA29" i="122"/>
  <c r="F30" i="122"/>
  <c r="H30" i="122"/>
  <c r="I30" i="122"/>
  <c r="J30" i="122"/>
  <c r="L30" i="122"/>
  <c r="M30" i="122"/>
  <c r="N30" i="122"/>
  <c r="O30" i="122"/>
  <c r="P30" i="122"/>
  <c r="Q30" i="122"/>
  <c r="R30" i="122"/>
  <c r="T30" i="122"/>
  <c r="U30" i="122"/>
  <c r="V30" i="122"/>
  <c r="X30" i="122"/>
  <c r="Y30" i="122"/>
  <c r="Z30" i="122"/>
  <c r="AA30" i="122"/>
  <c r="E30" i="122"/>
  <c r="E29" i="122"/>
  <c r="K29" i="122" l="1"/>
  <c r="K50" i="122"/>
  <c r="K77" i="122"/>
  <c r="K51" i="122"/>
  <c r="K30" i="122"/>
  <c r="K22" i="122"/>
  <c r="G16" i="122"/>
  <c r="D17" i="122"/>
  <c r="E71" i="122"/>
  <c r="I19" i="122"/>
  <c r="G22" i="122"/>
  <c r="D24" i="122"/>
  <c r="C24" i="122" s="1"/>
  <c r="T19" i="122"/>
  <c r="F19" i="122"/>
  <c r="R19" i="122"/>
  <c r="M74" i="122"/>
  <c r="V19" i="122"/>
  <c r="E19" i="122"/>
  <c r="P19" i="122"/>
  <c r="O19" i="122"/>
  <c r="X19" i="122"/>
  <c r="AA19" i="122"/>
  <c r="M19" i="122"/>
  <c r="Y19" i="122"/>
  <c r="H19" i="122"/>
  <c r="J19" i="122"/>
  <c r="Q19" i="122"/>
  <c r="C23" i="122"/>
  <c r="E28" i="122"/>
  <c r="D22" i="122" l="1"/>
  <c r="C17" i="122"/>
  <c r="C22" i="122"/>
  <c r="Y49" i="122" l="1"/>
  <c r="Z49" i="122"/>
  <c r="AA49" i="122"/>
  <c r="E55" i="122"/>
  <c r="F55" i="122"/>
  <c r="G55" i="122"/>
  <c r="H55" i="122"/>
  <c r="I55" i="122"/>
  <c r="J55" i="122"/>
  <c r="L55" i="122"/>
  <c r="M55" i="122"/>
  <c r="N55" i="122"/>
  <c r="O55" i="122"/>
  <c r="P55" i="122"/>
  <c r="Q55" i="122"/>
  <c r="R55" i="122"/>
  <c r="T55" i="122"/>
  <c r="V55" i="122"/>
  <c r="X55" i="122"/>
  <c r="Y55" i="122"/>
  <c r="Z55" i="122"/>
  <c r="AA55" i="122"/>
  <c r="D57" i="122"/>
  <c r="C57" i="122" s="1"/>
  <c r="E49" i="122"/>
  <c r="F49" i="122"/>
  <c r="G49" i="122"/>
  <c r="H49" i="122"/>
  <c r="I49" i="122"/>
  <c r="J49" i="122"/>
  <c r="L49" i="122"/>
  <c r="N49" i="122"/>
  <c r="O49" i="122"/>
  <c r="P49" i="122"/>
  <c r="Q49" i="122"/>
  <c r="R49" i="122"/>
  <c r="T49" i="122"/>
  <c r="V49" i="122"/>
  <c r="E52" i="122"/>
  <c r="F52" i="122"/>
  <c r="G52" i="122"/>
  <c r="H52" i="122"/>
  <c r="I52" i="122"/>
  <c r="J52" i="122"/>
  <c r="M52" i="122"/>
  <c r="N52" i="122"/>
  <c r="O52" i="122"/>
  <c r="P52" i="122"/>
  <c r="Q52" i="122"/>
  <c r="R52" i="122"/>
  <c r="T52" i="122"/>
  <c r="V52" i="122"/>
  <c r="Y52" i="122"/>
  <c r="Z52" i="122"/>
  <c r="AA52" i="122"/>
  <c r="AA40" i="122"/>
  <c r="F41" i="122"/>
  <c r="F14" i="122" s="1"/>
  <c r="G41" i="122"/>
  <c r="H41" i="122"/>
  <c r="H14" i="122" s="1"/>
  <c r="I41" i="122"/>
  <c r="I14" i="122" s="1"/>
  <c r="J41" i="122"/>
  <c r="J14" i="122" s="1"/>
  <c r="L41" i="122"/>
  <c r="M41" i="122"/>
  <c r="M14" i="122" s="1"/>
  <c r="N41" i="122"/>
  <c r="N14" i="122" s="1"/>
  <c r="O41" i="122"/>
  <c r="O14" i="122" s="1"/>
  <c r="P41" i="122"/>
  <c r="P14" i="122" s="1"/>
  <c r="Q41" i="122"/>
  <c r="Q14" i="122" s="1"/>
  <c r="R41" i="122"/>
  <c r="R14" i="122" s="1"/>
  <c r="T41" i="122"/>
  <c r="U41" i="122"/>
  <c r="V41" i="122"/>
  <c r="X41" i="122"/>
  <c r="F42" i="122"/>
  <c r="F15" i="122" s="1"/>
  <c r="G42" i="122"/>
  <c r="H42" i="122"/>
  <c r="H15" i="122" s="1"/>
  <c r="I42" i="122"/>
  <c r="I15" i="122" s="1"/>
  <c r="J42" i="122"/>
  <c r="J15" i="122" s="1"/>
  <c r="L42" i="122"/>
  <c r="M42" i="122"/>
  <c r="N42" i="122"/>
  <c r="O42" i="122"/>
  <c r="O15" i="122" s="1"/>
  <c r="P42" i="122"/>
  <c r="P15" i="122" s="1"/>
  <c r="Q42" i="122"/>
  <c r="Q15" i="122" s="1"/>
  <c r="R42" i="122"/>
  <c r="R15" i="122" s="1"/>
  <c r="T42" i="122"/>
  <c r="U42" i="122"/>
  <c r="V42" i="122"/>
  <c r="X42" i="122"/>
  <c r="E42" i="122"/>
  <c r="E15" i="122" s="1"/>
  <c r="E41" i="122"/>
  <c r="E14" i="122" s="1"/>
  <c r="E46" i="122"/>
  <c r="F46" i="122"/>
  <c r="G46" i="122"/>
  <c r="H46" i="122"/>
  <c r="I46" i="122"/>
  <c r="J46" i="122"/>
  <c r="L46" i="122"/>
  <c r="M46" i="122"/>
  <c r="N46" i="122"/>
  <c r="O46" i="122"/>
  <c r="P46" i="122"/>
  <c r="Q46" i="122"/>
  <c r="R46" i="122"/>
  <c r="T46" i="122"/>
  <c r="U46" i="122"/>
  <c r="V46" i="122"/>
  <c r="X46" i="122"/>
  <c r="Y46" i="122"/>
  <c r="AA46" i="122"/>
  <c r="E25" i="122"/>
  <c r="F25" i="122"/>
  <c r="H25" i="122"/>
  <c r="I25" i="122"/>
  <c r="J25" i="122"/>
  <c r="L25" i="122"/>
  <c r="M25" i="122"/>
  <c r="N25" i="122"/>
  <c r="O25" i="122"/>
  <c r="P25" i="122"/>
  <c r="Q25" i="122"/>
  <c r="R25" i="122"/>
  <c r="T25" i="122"/>
  <c r="U25" i="122"/>
  <c r="V25" i="122"/>
  <c r="X25" i="122"/>
  <c r="Y25" i="122"/>
  <c r="AA25" i="122"/>
  <c r="G26" i="122"/>
  <c r="G20" i="122" s="1"/>
  <c r="N43" i="122"/>
  <c r="O43" i="122"/>
  <c r="P43" i="122"/>
  <c r="Q43" i="122"/>
  <c r="R43" i="122"/>
  <c r="E37" i="122"/>
  <c r="F37" i="122"/>
  <c r="H37" i="122"/>
  <c r="I37" i="122"/>
  <c r="J37" i="122"/>
  <c r="L37" i="122"/>
  <c r="M37" i="122"/>
  <c r="N37" i="122"/>
  <c r="O37" i="122"/>
  <c r="P37" i="122"/>
  <c r="Q37" i="122"/>
  <c r="R37" i="122"/>
  <c r="T37" i="122"/>
  <c r="U37" i="122"/>
  <c r="V37" i="122"/>
  <c r="Y37" i="122"/>
  <c r="Z37" i="122"/>
  <c r="AA37" i="122"/>
  <c r="G39" i="122"/>
  <c r="G38" i="122"/>
  <c r="F28" i="122"/>
  <c r="H28" i="122"/>
  <c r="I28" i="122"/>
  <c r="J28" i="122"/>
  <c r="L28" i="122"/>
  <c r="N28" i="122"/>
  <c r="O28" i="122"/>
  <c r="P28" i="122"/>
  <c r="Q28" i="122"/>
  <c r="R28" i="122"/>
  <c r="T28" i="122"/>
  <c r="U28" i="122"/>
  <c r="V28" i="122"/>
  <c r="Y28" i="122"/>
  <c r="Z28" i="122"/>
  <c r="AA28" i="122"/>
  <c r="E34" i="122"/>
  <c r="F34" i="122"/>
  <c r="H34" i="122"/>
  <c r="I34" i="122"/>
  <c r="J34" i="122"/>
  <c r="L34" i="122"/>
  <c r="M34" i="122"/>
  <c r="N34" i="122"/>
  <c r="O34" i="122"/>
  <c r="P34" i="122"/>
  <c r="Q34" i="122"/>
  <c r="R34" i="122"/>
  <c r="T34" i="122"/>
  <c r="U34" i="122"/>
  <c r="V34" i="122"/>
  <c r="Y34" i="122"/>
  <c r="Z34" i="122"/>
  <c r="AA34" i="122"/>
  <c r="E31" i="122"/>
  <c r="F31" i="122"/>
  <c r="G31" i="122"/>
  <c r="H31" i="122"/>
  <c r="I31" i="122"/>
  <c r="J31" i="122"/>
  <c r="L31" i="122"/>
  <c r="M31" i="122"/>
  <c r="N31" i="122"/>
  <c r="O31" i="122"/>
  <c r="P31" i="122"/>
  <c r="Q31" i="122"/>
  <c r="R31" i="122"/>
  <c r="T31" i="122"/>
  <c r="U31" i="122"/>
  <c r="V31" i="122"/>
  <c r="X31" i="122"/>
  <c r="Y31" i="122"/>
  <c r="Z31" i="122"/>
  <c r="AA31" i="122"/>
  <c r="G35" i="122"/>
  <c r="G36" i="122"/>
  <c r="D33" i="122"/>
  <c r="C33" i="122" s="1"/>
  <c r="D32" i="122"/>
  <c r="U57" i="122"/>
  <c r="U56" i="122"/>
  <c r="U54" i="122"/>
  <c r="U24" i="122"/>
  <c r="U21" i="122" s="1"/>
  <c r="U23" i="122"/>
  <c r="U20" i="122" s="1"/>
  <c r="C51" i="122" l="1"/>
  <c r="K46" i="122"/>
  <c r="X15" i="122"/>
  <c r="Q13" i="122"/>
  <c r="Q12" i="122" s="1"/>
  <c r="P13" i="122"/>
  <c r="P12" i="122" s="1"/>
  <c r="P11" i="122" s="1"/>
  <c r="G29" i="122"/>
  <c r="G14" i="122" s="1"/>
  <c r="K55" i="122"/>
  <c r="T40" i="122"/>
  <c r="K52" i="122"/>
  <c r="K37" i="122"/>
  <c r="K25" i="122"/>
  <c r="K42" i="122"/>
  <c r="K34" i="122"/>
  <c r="K31" i="122"/>
  <c r="K41" i="122"/>
  <c r="U51" i="122"/>
  <c r="V40" i="122"/>
  <c r="G30" i="122"/>
  <c r="G15" i="122" s="1"/>
  <c r="G37" i="122"/>
  <c r="G19" i="122"/>
  <c r="D31" i="122"/>
  <c r="C32" i="122"/>
  <c r="U55" i="122"/>
  <c r="E40" i="122"/>
  <c r="U40" i="122"/>
  <c r="U19" i="122"/>
  <c r="U22" i="122"/>
  <c r="X40" i="122"/>
  <c r="O40" i="122"/>
  <c r="U50" i="122"/>
  <c r="I13" i="122"/>
  <c r="I12" i="122" s="1"/>
  <c r="I11" i="122" s="1"/>
  <c r="I10" i="122" s="1"/>
  <c r="I40" i="122"/>
  <c r="H13" i="122"/>
  <c r="H12" i="122" s="1"/>
  <c r="H11" i="122" s="1"/>
  <c r="H10" i="122" s="1"/>
  <c r="H40" i="122"/>
  <c r="G34" i="122"/>
  <c r="G25" i="122"/>
  <c r="E13" i="122"/>
  <c r="E12" i="122" s="1"/>
  <c r="E11" i="122" s="1"/>
  <c r="E10" i="122" s="1"/>
  <c r="D26" i="122"/>
  <c r="U52" i="122"/>
  <c r="R13" i="122"/>
  <c r="R12" i="122" s="1"/>
  <c r="G40" i="122"/>
  <c r="F40" i="122"/>
  <c r="R40" i="122"/>
  <c r="Q40" i="122"/>
  <c r="F13" i="122"/>
  <c r="F12" i="122" s="1"/>
  <c r="F11" i="122" s="1"/>
  <c r="F10" i="122" s="1"/>
  <c r="P40" i="122"/>
  <c r="N40" i="122"/>
  <c r="J13" i="122"/>
  <c r="J12" i="122" s="1"/>
  <c r="J11" i="122" s="1"/>
  <c r="J10" i="122" s="1"/>
  <c r="M40" i="122"/>
  <c r="O13" i="122"/>
  <c r="O12" i="122" s="1"/>
  <c r="L40" i="122"/>
  <c r="J40" i="122"/>
  <c r="C31" i="122" l="1"/>
  <c r="U49" i="122"/>
  <c r="Q11" i="122"/>
  <c r="Q10" i="122" s="1"/>
  <c r="K40" i="122"/>
  <c r="P10" i="122"/>
  <c r="G28" i="122"/>
  <c r="D20" i="122"/>
  <c r="C26" i="122"/>
  <c r="G13" i="122"/>
  <c r="G12" i="122" s="1"/>
  <c r="G11" i="122" s="1"/>
  <c r="G10" i="122" s="1"/>
  <c r="E67" i="122"/>
  <c r="E66" i="122"/>
  <c r="E65" i="122" s="1"/>
  <c r="E64" i="122" s="1"/>
  <c r="U84" i="122"/>
  <c r="V66" i="122"/>
  <c r="Y66" i="122"/>
  <c r="AA66" i="122"/>
  <c r="V67" i="122"/>
  <c r="Y67" i="122"/>
  <c r="AA67" i="122"/>
  <c r="F66" i="122"/>
  <c r="I66" i="122"/>
  <c r="J66" i="122"/>
  <c r="L66" i="122"/>
  <c r="K66" i="122" s="1"/>
  <c r="R58" i="122"/>
  <c r="R11" i="122" s="1"/>
  <c r="F67" i="122"/>
  <c r="I67" i="122"/>
  <c r="J67" i="122"/>
  <c r="L67" i="122"/>
  <c r="M67" i="122"/>
  <c r="M65" i="122" s="1"/>
  <c r="T67" i="122"/>
  <c r="Y80" i="122"/>
  <c r="Z80" i="122"/>
  <c r="AA80" i="122"/>
  <c r="T80" i="122"/>
  <c r="U79" i="122"/>
  <c r="U77" i="122" s="1"/>
  <c r="U76" i="122"/>
  <c r="U75" i="122"/>
  <c r="C20" i="122" l="1"/>
  <c r="K67" i="122"/>
  <c r="U67" i="122"/>
  <c r="I65" i="122"/>
  <c r="I64" i="122" s="1"/>
  <c r="F65" i="122"/>
  <c r="F64" i="122" s="1"/>
  <c r="J65" i="122"/>
  <c r="J64" i="122" s="1"/>
  <c r="Y65" i="122"/>
  <c r="Y64" i="122" s="1"/>
  <c r="Y58" i="122" s="1"/>
  <c r="V65" i="122"/>
  <c r="V64" i="122" s="1"/>
  <c r="V58" i="122" s="1"/>
  <c r="AA65" i="122"/>
  <c r="AA64" i="122" s="1"/>
  <c r="AA58" i="122" s="1"/>
  <c r="AA11" i="122" s="1"/>
  <c r="N65" i="122"/>
  <c r="O58" i="122"/>
  <c r="L65" i="122"/>
  <c r="M64" i="122"/>
  <c r="S79" i="122"/>
  <c r="D79" i="122"/>
  <c r="S78" i="122"/>
  <c r="J74" i="122"/>
  <c r="E74" i="122"/>
  <c r="Y71" i="122"/>
  <c r="Z71" i="122"/>
  <c r="AA71" i="122"/>
  <c r="T72" i="122"/>
  <c r="T66" i="122" s="1"/>
  <c r="F74" i="122"/>
  <c r="I74" i="122"/>
  <c r="AB58" i="122" l="1"/>
  <c r="T65" i="122"/>
  <c r="L64" i="122"/>
  <c r="K65" i="122"/>
  <c r="N64" i="122"/>
  <c r="D77" i="122"/>
  <c r="C79" i="122"/>
  <c r="W79" i="122" s="1"/>
  <c r="S77" i="122"/>
  <c r="W78" i="122"/>
  <c r="Z78" i="122" s="1"/>
  <c r="C77" i="122" l="1"/>
  <c r="T64" i="122"/>
  <c r="K64" i="122"/>
  <c r="N58" i="122"/>
  <c r="Z79" i="122"/>
  <c r="W77" i="122"/>
  <c r="Z77" i="122" l="1"/>
  <c r="D17" i="170" l="1"/>
  <c r="C17" i="170"/>
  <c r="D13" i="170"/>
  <c r="C13" i="170"/>
  <c r="D7" i="170"/>
  <c r="D12" i="170" s="1"/>
  <c r="C7" i="170"/>
  <c r="C12" i="170" s="1"/>
  <c r="C25" i="170" l="1"/>
  <c r="C26" i="170" s="1"/>
  <c r="C29" i="170" s="1"/>
  <c r="D25" i="170"/>
  <c r="D26" i="170" s="1"/>
  <c r="D29" i="170" s="1"/>
  <c r="E23" i="169"/>
  <c r="D30" i="170" l="1"/>
  <c r="D31" i="170"/>
  <c r="C31" i="170"/>
  <c r="C34" i="170"/>
  <c r="C30" i="170"/>
  <c r="H8" i="168"/>
  <c r="I8" i="168" s="1"/>
  <c r="H7" i="168"/>
  <c r="F11" i="168"/>
  <c r="F10" i="168" s="1"/>
  <c r="F12" i="168"/>
  <c r="H12" i="168" s="1"/>
  <c r="J12" i="168" s="1"/>
  <c r="H14" i="168"/>
  <c r="H13" i="168"/>
  <c r="H15" i="168"/>
  <c r="F59" i="172"/>
  <c r="F58" i="172"/>
  <c r="F57" i="172"/>
  <c r="F56" i="172"/>
  <c r="F55" i="172"/>
  <c r="F54" i="172"/>
  <c r="F53" i="172"/>
  <c r="F52" i="172"/>
  <c r="F51" i="172"/>
  <c r="E50" i="172"/>
  <c r="E49" i="172"/>
  <c r="F49" i="172" s="1"/>
  <c r="E48" i="172"/>
  <c r="F48" i="172" s="1"/>
  <c r="E47" i="172"/>
  <c r="F47" i="172" s="1"/>
  <c r="F46" i="172"/>
  <c r="E45" i="172"/>
  <c r="F45" i="172" s="1"/>
  <c r="E44" i="172"/>
  <c r="F44" i="172" s="1"/>
  <c r="F43" i="172"/>
  <c r="F42" i="172"/>
  <c r="E41" i="172"/>
  <c r="F41" i="172" s="1"/>
  <c r="E40" i="172"/>
  <c r="F40" i="172" s="1"/>
  <c r="E39" i="172"/>
  <c r="F39" i="172" s="1"/>
  <c r="E38" i="172"/>
  <c r="F38" i="172" s="1"/>
  <c r="E37" i="172"/>
  <c r="E36" i="172"/>
  <c r="F36" i="172" s="1"/>
  <c r="F35" i="172"/>
  <c r="F34" i="172"/>
  <c r="E33" i="172"/>
  <c r="F33" i="172" s="1"/>
  <c r="F32" i="172"/>
  <c r="F30" i="172"/>
  <c r="F29" i="172"/>
  <c r="F28" i="172"/>
  <c r="F27" i="172"/>
  <c r="F26" i="172"/>
  <c r="F25" i="172"/>
  <c r="F24" i="172"/>
  <c r="F23" i="172"/>
  <c r="F22" i="172"/>
  <c r="F21" i="172"/>
  <c r="F20" i="172"/>
  <c r="F19" i="172"/>
  <c r="F18" i="172"/>
  <c r="F17" i="172"/>
  <c r="F16" i="172"/>
  <c r="F15" i="172"/>
  <c r="E14" i="172"/>
  <c r="E11" i="172"/>
  <c r="E9" i="172" s="1"/>
  <c r="E6" i="172" s="1"/>
  <c r="I84" i="171"/>
  <c r="I83" i="171"/>
  <c r="E82" i="171"/>
  <c r="I82" i="171" s="1"/>
  <c r="E79" i="171"/>
  <c r="I79" i="171" s="1"/>
  <c r="I78" i="171"/>
  <c r="I77" i="171"/>
  <c r="I76" i="171"/>
  <c r="I75" i="171"/>
  <c r="I74" i="171"/>
  <c r="I73" i="171"/>
  <c r="J72" i="171"/>
  <c r="H72" i="171"/>
  <c r="G72" i="171"/>
  <c r="F72" i="171"/>
  <c r="E72" i="171"/>
  <c r="J70" i="171"/>
  <c r="I69" i="171"/>
  <c r="I68" i="171"/>
  <c r="I67" i="171"/>
  <c r="I66" i="171"/>
  <c r="I65" i="171"/>
  <c r="I64" i="171"/>
  <c r="I63" i="171"/>
  <c r="J63" i="171" s="1"/>
  <c r="I62" i="171"/>
  <c r="J62" i="171" s="1"/>
  <c r="J61" i="171"/>
  <c r="I60" i="171"/>
  <c r="E59" i="171"/>
  <c r="I58" i="171"/>
  <c r="I57" i="171"/>
  <c r="I56" i="171"/>
  <c r="I55" i="171"/>
  <c r="J55" i="171" s="1"/>
  <c r="I54" i="171"/>
  <c r="I53" i="171"/>
  <c r="I52" i="171"/>
  <c r="I51" i="171"/>
  <c r="E50" i="171"/>
  <c r="J49" i="171"/>
  <c r="J47" i="171"/>
  <c r="I44" i="171"/>
  <c r="E44" i="171"/>
  <c r="J43" i="171"/>
  <c r="J42" i="171"/>
  <c r="I41" i="171"/>
  <c r="I40" i="171" s="1"/>
  <c r="E41" i="171"/>
  <c r="I39" i="171"/>
  <c r="I34" i="171"/>
  <c r="E34" i="171"/>
  <c r="J32" i="171"/>
  <c r="J31" i="171"/>
  <c r="E30" i="171"/>
  <c r="J30" i="171" s="1"/>
  <c r="J29" i="171"/>
  <c r="J28" i="171"/>
  <c r="E25" i="171"/>
  <c r="E24" i="171" s="1"/>
  <c r="J22" i="171"/>
  <c r="J21" i="171"/>
  <c r="J20" i="171"/>
  <c r="J19" i="171"/>
  <c r="J18" i="171"/>
  <c r="J17" i="171"/>
  <c r="J14" i="171"/>
  <c r="E13" i="171"/>
  <c r="E12" i="171" s="1"/>
  <c r="I12" i="171"/>
  <c r="I7" i="171" s="1"/>
  <c r="J11" i="171"/>
  <c r="J10" i="171"/>
  <c r="J9" i="171"/>
  <c r="J8" i="171"/>
  <c r="E28" i="169"/>
  <c r="E27" i="169"/>
  <c r="H25" i="169"/>
  <c r="H23" i="169"/>
  <c r="E21" i="169"/>
  <c r="F21" i="169" s="1"/>
  <c r="F18" i="169" s="1"/>
  <c r="J20" i="169"/>
  <c r="E20" i="169"/>
  <c r="I19" i="169" s="1"/>
  <c r="H19" i="169"/>
  <c r="E19" i="169"/>
  <c r="D18" i="169"/>
  <c r="E16" i="169"/>
  <c r="E15" i="169"/>
  <c r="D14" i="169"/>
  <c r="I13" i="169" s="1"/>
  <c r="E13" i="169"/>
  <c r="H13" i="169" s="1"/>
  <c r="H12" i="169"/>
  <c r="H11" i="169" s="1"/>
  <c r="E12" i="169"/>
  <c r="E11" i="169" s="1"/>
  <c r="G11" i="169"/>
  <c r="F11" i="169"/>
  <c r="D11" i="169"/>
  <c r="J10" i="169"/>
  <c r="J11" i="169" s="1"/>
  <c r="H10" i="169"/>
  <c r="H9" i="169" s="1"/>
  <c r="E10" i="169"/>
  <c r="F10" i="169" s="1"/>
  <c r="F9" i="169" s="1"/>
  <c r="G9" i="169"/>
  <c r="D9" i="169"/>
  <c r="E8" i="169"/>
  <c r="F8" i="169" s="1"/>
  <c r="F6" i="169" s="1"/>
  <c r="H7" i="169"/>
  <c r="H6" i="169" s="1"/>
  <c r="E7" i="169"/>
  <c r="G6" i="169"/>
  <c r="D6" i="169"/>
  <c r="F24" i="168"/>
  <c r="F23" i="168"/>
  <c r="E23" i="168"/>
  <c r="F19" i="168"/>
  <c r="F17" i="168"/>
  <c r="G17" i="168" s="1"/>
  <c r="G16" i="168" s="1"/>
  <c r="E17" i="168"/>
  <c r="G15" i="168"/>
  <c r="G14" i="168"/>
  <c r="G13" i="168"/>
  <c r="E10" i="168"/>
  <c r="E6" i="168"/>
  <c r="E13" i="166"/>
  <c r="E12" i="166"/>
  <c r="E10" i="166"/>
  <c r="E6" i="166" s="1"/>
  <c r="G10" i="168" l="1"/>
  <c r="G9" i="168" s="1"/>
  <c r="I9" i="168" s="1"/>
  <c r="E16" i="168"/>
  <c r="G6" i="168"/>
  <c r="E14" i="169"/>
  <c r="E9" i="168"/>
  <c r="I72" i="171"/>
  <c r="I6" i="168"/>
  <c r="F50" i="172"/>
  <c r="E18" i="169"/>
  <c r="D17" i="169"/>
  <c r="F16" i="168"/>
  <c r="F9" i="168" s="1"/>
  <c r="E26" i="168" s="1"/>
  <c r="E28" i="168" s="1"/>
  <c r="J12" i="171"/>
  <c r="E6" i="169"/>
  <c r="I16" i="168"/>
  <c r="I17" i="168" s="1"/>
  <c r="I50" i="171"/>
  <c r="J50" i="171" s="1"/>
  <c r="F17" i="169"/>
  <c r="E9" i="169"/>
  <c r="H17" i="169"/>
  <c r="J17" i="169" s="1"/>
  <c r="G17" i="169"/>
  <c r="E31" i="172"/>
  <c r="E12" i="172" s="1"/>
  <c r="F14" i="172"/>
  <c r="J41" i="171"/>
  <c r="I71" i="171"/>
  <c r="J44" i="171"/>
  <c r="I59" i="171"/>
  <c r="J59" i="171"/>
  <c r="J34" i="171"/>
  <c r="J19" i="169"/>
  <c r="F37" i="172"/>
  <c r="F31" i="172" s="1"/>
  <c r="J24" i="171"/>
  <c r="E23" i="171"/>
  <c r="J13" i="171"/>
  <c r="E40" i="171"/>
  <c r="E71" i="171"/>
  <c r="J21" i="169"/>
  <c r="I33" i="171" l="1"/>
  <c r="E17" i="169"/>
  <c r="E22" i="169" s="1"/>
  <c r="J71" i="171"/>
  <c r="I6" i="171"/>
  <c r="F12" i="172"/>
  <c r="E60" i="172" s="1"/>
  <c r="E61" i="172" s="1"/>
  <c r="H10" i="168"/>
  <c r="J10" i="168" s="1"/>
  <c r="E33" i="171"/>
  <c r="J40" i="171"/>
  <c r="J33" i="171" s="1"/>
  <c r="J23" i="171"/>
  <c r="E7" i="171"/>
  <c r="J7" i="171" l="1"/>
  <c r="E6" i="171"/>
  <c r="J6" i="171" s="1"/>
  <c r="E9" i="165" l="1"/>
  <c r="E8" i="165" s="1"/>
  <c r="E7" i="165" s="1"/>
  <c r="F9" i="165"/>
  <c r="F8" i="165" s="1"/>
  <c r="F7" i="165" s="1"/>
  <c r="G9" i="165"/>
  <c r="H9" i="165"/>
  <c r="H8" i="165" s="1"/>
  <c r="H7" i="165" s="1"/>
  <c r="I9" i="165"/>
  <c r="I8" i="165" s="1"/>
  <c r="I7" i="165" s="1"/>
  <c r="J9" i="165"/>
  <c r="K9" i="165"/>
  <c r="L9" i="165"/>
  <c r="L8" i="165" s="1"/>
  <c r="L7" i="165" s="1"/>
  <c r="M9" i="165"/>
  <c r="M8" i="165" s="1"/>
  <c r="M7" i="165" s="1"/>
  <c r="N9" i="165"/>
  <c r="N8" i="165" s="1"/>
  <c r="N7" i="165" s="1"/>
  <c r="O9" i="165"/>
  <c r="O8" i="165" s="1"/>
  <c r="O7" i="165" s="1"/>
  <c r="P9" i="165"/>
  <c r="P8" i="165" s="1"/>
  <c r="P7" i="165" s="1"/>
  <c r="Q9" i="165"/>
  <c r="Q8" i="165" s="1"/>
  <c r="Q7" i="165" s="1"/>
  <c r="R9" i="165"/>
  <c r="C10" i="165"/>
  <c r="C11" i="165"/>
  <c r="D11" i="165"/>
  <c r="D10" i="165"/>
  <c r="D17" i="165"/>
  <c r="O12" i="165"/>
  <c r="D12" i="165"/>
  <c r="D26" i="165"/>
  <c r="S21" i="165"/>
  <c r="R21" i="165"/>
  <c r="Q21" i="165"/>
  <c r="P21" i="165"/>
  <c r="O21" i="165"/>
  <c r="N21" i="165"/>
  <c r="M21" i="165"/>
  <c r="L21" i="165"/>
  <c r="K21" i="165"/>
  <c r="I21" i="165"/>
  <c r="H21" i="165"/>
  <c r="G21" i="165"/>
  <c r="F21" i="165"/>
  <c r="E21" i="165"/>
  <c r="C21" i="165"/>
  <c r="S19" i="165"/>
  <c r="R19" i="165"/>
  <c r="Q19" i="165"/>
  <c r="P19" i="165"/>
  <c r="O19" i="165"/>
  <c r="N19" i="165"/>
  <c r="M19" i="165"/>
  <c r="L19" i="165"/>
  <c r="K19" i="165"/>
  <c r="I19" i="165"/>
  <c r="H19" i="165"/>
  <c r="G19" i="165"/>
  <c r="F19" i="165"/>
  <c r="E19" i="165"/>
  <c r="D18" i="165"/>
  <c r="T18" i="165" s="1"/>
  <c r="C17" i="165"/>
  <c r="D13" i="165"/>
  <c r="T13" i="165" s="1"/>
  <c r="S8" i="165"/>
  <c r="S7" i="165" s="1"/>
  <c r="R8" i="165"/>
  <c r="R7" i="165" s="1"/>
  <c r="K8" i="165"/>
  <c r="K7" i="165" s="1"/>
  <c r="J8" i="165"/>
  <c r="J7" i="165" s="1"/>
  <c r="G8" i="165"/>
  <c r="G7" i="165" s="1"/>
  <c r="D9" i="165" l="1"/>
  <c r="C9" i="165"/>
  <c r="T9" i="165" s="1"/>
  <c r="T17" i="165"/>
  <c r="C28" i="79" l="1"/>
  <c r="C21" i="80"/>
  <c r="C55" i="162" l="1"/>
  <c r="D55" i="162"/>
  <c r="E55" i="162"/>
  <c r="F55" i="162"/>
  <c r="G55" i="162"/>
  <c r="H55" i="162"/>
  <c r="I55" i="162"/>
  <c r="J55" i="162"/>
  <c r="K55" i="162"/>
  <c r="L55" i="162"/>
  <c r="M55" i="162"/>
  <c r="N55" i="162"/>
  <c r="O55" i="162"/>
  <c r="P55" i="162"/>
  <c r="Q55" i="162"/>
  <c r="R55" i="162"/>
  <c r="S55" i="162"/>
  <c r="T55" i="162"/>
  <c r="U55" i="162"/>
  <c r="V55" i="162"/>
  <c r="W55" i="162"/>
  <c r="X55" i="162"/>
  <c r="AB55" i="162"/>
  <c r="AF55" i="162"/>
  <c r="D16" i="133" l="1"/>
  <c r="D11" i="133" s="1"/>
  <c r="E16" i="133"/>
  <c r="P16" i="133"/>
  <c r="P11" i="133" s="1"/>
  <c r="Q16" i="133"/>
  <c r="Q11" i="133" s="1"/>
  <c r="AO60" i="162"/>
  <c r="AB59" i="162"/>
  <c r="AO59" i="162" s="1"/>
  <c r="AN58" i="162"/>
  <c r="AF58" i="162"/>
  <c r="AB58" i="162"/>
  <c r="AA58" i="162"/>
  <c r="Z58" i="162"/>
  <c r="Y58" i="162"/>
  <c r="AN57" i="162"/>
  <c r="AN55" i="162" s="1"/>
  <c r="AM57" i="162"/>
  <c r="AL57" i="162"/>
  <c r="AK57" i="162"/>
  <c r="AK55" i="162" s="1"/>
  <c r="AJ57" i="162"/>
  <c r="AJ55" i="162" s="1"/>
  <c r="AI57" i="162"/>
  <c r="AI55" i="162" s="1"/>
  <c r="AH57" i="162"/>
  <c r="AH55" i="162" s="1"/>
  <c r="AG57" i="162"/>
  <c r="AE57" i="162"/>
  <c r="AE55" i="162" s="1"/>
  <c r="AD57" i="162"/>
  <c r="AD55" i="162" s="1"/>
  <c r="AC57" i="162"/>
  <c r="AC55" i="162" s="1"/>
  <c r="Z57" i="162"/>
  <c r="Z55" i="162" s="1"/>
  <c r="Y57" i="162"/>
  <c r="Y55" i="162" s="1"/>
  <c r="AO56" i="162"/>
  <c r="AO54" i="162"/>
  <c r="O54" i="162"/>
  <c r="I54" i="162"/>
  <c r="D54" i="162"/>
  <c r="AO53" i="162"/>
  <c r="O53" i="162"/>
  <c r="I53" i="162"/>
  <c r="D53" i="162"/>
  <c r="AN52" i="162"/>
  <c r="AM52" i="162"/>
  <c r="AM51" i="162" s="1"/>
  <c r="AL52" i="162"/>
  <c r="AL51" i="162" s="1"/>
  <c r="AK52" i="162"/>
  <c r="AK51" i="162" s="1"/>
  <c r="AJ52" i="162"/>
  <c r="AJ51" i="162" s="1"/>
  <c r="AI52" i="162"/>
  <c r="AI51" i="162" s="1"/>
  <c r="AH52" i="162"/>
  <c r="AH51" i="162" s="1"/>
  <c r="AG52" i="162"/>
  <c r="AG51" i="162" s="1"/>
  <c r="AF52" i="162"/>
  <c r="AF51" i="162" s="1"/>
  <c r="AE52" i="162"/>
  <c r="AE51" i="162" s="1"/>
  <c r="AD52" i="162"/>
  <c r="AC52" i="162"/>
  <c r="AC51" i="162" s="1"/>
  <c r="AB52" i="162"/>
  <c r="AA52" i="162"/>
  <c r="AA51" i="162" s="1"/>
  <c r="Z52" i="162"/>
  <c r="Z51" i="162" s="1"/>
  <c r="Y52" i="162"/>
  <c r="Y51" i="162" s="1"/>
  <c r="X52" i="162"/>
  <c r="W52" i="162"/>
  <c r="U52" i="162"/>
  <c r="T52" i="162"/>
  <c r="R52" i="162"/>
  <c r="Q52" i="162"/>
  <c r="P52" i="162"/>
  <c r="N52" i="162"/>
  <c r="M52" i="162"/>
  <c r="L52" i="162"/>
  <c r="K52" i="162"/>
  <c r="J52" i="162"/>
  <c r="D52" i="162"/>
  <c r="AN51" i="162"/>
  <c r="AD51" i="162"/>
  <c r="AB51" i="162"/>
  <c r="AO50" i="162"/>
  <c r="O50" i="162"/>
  <c r="I50" i="162"/>
  <c r="D50" i="162"/>
  <c r="C50" i="162" s="1"/>
  <c r="S50" i="162" s="1"/>
  <c r="V50" i="162" s="1"/>
  <c r="AA49" i="162"/>
  <c r="AO49" i="162" s="1"/>
  <c r="O49" i="162"/>
  <c r="I49" i="162"/>
  <c r="D49" i="162"/>
  <c r="AK48" i="162"/>
  <c r="AK47" i="162" s="1"/>
  <c r="AJ48" i="162"/>
  <c r="AJ47" i="162" s="1"/>
  <c r="AI48" i="162"/>
  <c r="AI47" i="162" s="1"/>
  <c r="AH48" i="162"/>
  <c r="AH47" i="162" s="1"/>
  <c r="AG48" i="162"/>
  <c r="AG47" i="162" s="1"/>
  <c r="AF48" i="162"/>
  <c r="AF47" i="162" s="1"/>
  <c r="AE48" i="162"/>
  <c r="AE47" i="162" s="1"/>
  <c r="AD48" i="162"/>
  <c r="AD47" i="162" s="1"/>
  <c r="AC48" i="162"/>
  <c r="AC47" i="162" s="1"/>
  <c r="AB48" i="162"/>
  <c r="AB47" i="162" s="1"/>
  <c r="AA48" i="162"/>
  <c r="AA47" i="162" s="1"/>
  <c r="Z48" i="162"/>
  <c r="Z47" i="162" s="1"/>
  <c r="Y48" i="162"/>
  <c r="Y47" i="162" s="1"/>
  <c r="X48" i="162"/>
  <c r="W48" i="162"/>
  <c r="U48" i="162"/>
  <c r="T48" i="162"/>
  <c r="R48" i="162"/>
  <c r="Q48" i="162"/>
  <c r="P48" i="162"/>
  <c r="O48" i="162" s="1"/>
  <c r="N48" i="162"/>
  <c r="M48" i="162"/>
  <c r="L48" i="162"/>
  <c r="K48" i="162"/>
  <c r="J48" i="162"/>
  <c r="D48" i="162"/>
  <c r="AN47" i="162"/>
  <c r="AM47" i="162"/>
  <c r="AL47" i="162"/>
  <c r="AO46" i="162"/>
  <c r="AO45" i="162"/>
  <c r="AO44" i="162"/>
  <c r="I44" i="162"/>
  <c r="D44" i="162"/>
  <c r="C44" i="162" s="1"/>
  <c r="AO43" i="162"/>
  <c r="I43" i="162"/>
  <c r="D43" i="162"/>
  <c r="AL42" i="162"/>
  <c r="AK42" i="162"/>
  <c r="AJ42" i="162"/>
  <c r="AI42" i="162"/>
  <c r="AH42" i="162"/>
  <c r="AG42" i="162"/>
  <c r="AF42" i="162"/>
  <c r="AE42" i="162"/>
  <c r="AD42" i="162"/>
  <c r="AC42" i="162"/>
  <c r="AB42" i="162"/>
  <c r="AA42" i="162"/>
  <c r="Z42" i="162"/>
  <c r="Y42" i="162"/>
  <c r="X42" i="162"/>
  <c r="W42" i="162"/>
  <c r="V42" i="162"/>
  <c r="U42" i="162"/>
  <c r="T42" i="162"/>
  <c r="R42" i="162"/>
  <c r="Q42" i="162"/>
  <c r="N42" i="162"/>
  <c r="M42" i="162"/>
  <c r="L42" i="162"/>
  <c r="K42" i="162"/>
  <c r="J42" i="162"/>
  <c r="D42" i="162"/>
  <c r="AO41" i="162"/>
  <c r="O41" i="162"/>
  <c r="I41" i="162"/>
  <c r="D41" i="162"/>
  <c r="AO40" i="162"/>
  <c r="O40" i="162"/>
  <c r="O39" i="162" s="1"/>
  <c r="I40" i="162"/>
  <c r="D40" i="162"/>
  <c r="AL39" i="162"/>
  <c r="AK39" i="162"/>
  <c r="AJ39" i="162"/>
  <c r="AI39" i="162"/>
  <c r="AH39" i="162"/>
  <c r="AG39" i="162"/>
  <c r="AF39" i="162"/>
  <c r="AE39" i="162"/>
  <c r="AD39" i="162"/>
  <c r="AC39" i="162"/>
  <c r="AB39" i="162"/>
  <c r="AA39" i="162"/>
  <c r="Z39" i="162"/>
  <c r="Y39" i="162"/>
  <c r="X39" i="162"/>
  <c r="W39" i="162"/>
  <c r="V39" i="162"/>
  <c r="U39" i="162"/>
  <c r="R39" i="162"/>
  <c r="Q39" i="162"/>
  <c r="P39" i="162"/>
  <c r="N39" i="162"/>
  <c r="M39" i="162"/>
  <c r="L39" i="162"/>
  <c r="K39" i="162"/>
  <c r="J39" i="162"/>
  <c r="H39" i="162"/>
  <c r="G39" i="162"/>
  <c r="F39" i="162"/>
  <c r="E39" i="162"/>
  <c r="AO38" i="162"/>
  <c r="U38" i="162"/>
  <c r="U36" i="162" s="1"/>
  <c r="R38" i="162"/>
  <c r="R36" i="162" s="1"/>
  <c r="P38" i="162"/>
  <c r="O38" i="162" s="1"/>
  <c r="I38" i="162"/>
  <c r="D38" i="162"/>
  <c r="AO37" i="162"/>
  <c r="W37" i="162"/>
  <c r="W36" i="162" s="1"/>
  <c r="V37" i="162"/>
  <c r="V36" i="162" s="1"/>
  <c r="Q37" i="162"/>
  <c r="P37" i="162"/>
  <c r="I37" i="162"/>
  <c r="F37" i="162"/>
  <c r="F36" i="162" s="1"/>
  <c r="D37" i="162"/>
  <c r="C37" i="162" s="1"/>
  <c r="AN36" i="162"/>
  <c r="AM36" i="162"/>
  <c r="AL36" i="162"/>
  <c r="AK36" i="162"/>
  <c r="AJ36" i="162"/>
  <c r="AI36" i="162"/>
  <c r="AH36" i="162"/>
  <c r="AG36" i="162"/>
  <c r="AF36" i="162"/>
  <c r="AE36" i="162"/>
  <c r="AD36" i="162"/>
  <c r="AC36" i="162"/>
  <c r="AB36" i="162"/>
  <c r="AA36" i="162"/>
  <c r="Z36" i="162"/>
  <c r="Y36" i="162"/>
  <c r="X36" i="162"/>
  <c r="T36" i="162"/>
  <c r="Q36" i="162"/>
  <c r="N36" i="162"/>
  <c r="M36" i="162"/>
  <c r="L36" i="162"/>
  <c r="K36" i="162"/>
  <c r="J36" i="162"/>
  <c r="H36" i="162"/>
  <c r="G36" i="162"/>
  <c r="E36" i="162"/>
  <c r="AK35" i="162"/>
  <c r="AK33" i="162" s="1"/>
  <c r="AJ35" i="162"/>
  <c r="AJ33" i="162" s="1"/>
  <c r="AI35" i="162"/>
  <c r="AI33" i="162" s="1"/>
  <c r="AI32" i="162" s="1"/>
  <c r="AH35" i="162"/>
  <c r="AG35" i="162"/>
  <c r="AF35" i="162"/>
  <c r="AE35" i="162"/>
  <c r="AD35" i="162"/>
  <c r="AD33" i="162" s="1"/>
  <c r="AC35" i="162"/>
  <c r="AC33" i="162" s="1"/>
  <c r="AB35" i="162"/>
  <c r="O35" i="162"/>
  <c r="I35" i="162"/>
  <c r="D35" i="162"/>
  <c r="C35" i="162" s="1"/>
  <c r="S35" i="162" s="1"/>
  <c r="V35" i="162" s="1"/>
  <c r="AO34" i="162"/>
  <c r="O34" i="162"/>
  <c r="I34" i="162"/>
  <c r="D34" i="162"/>
  <c r="AH33" i="162"/>
  <c r="AG33" i="162"/>
  <c r="AG32" i="162" s="1"/>
  <c r="AF33" i="162"/>
  <c r="AE33" i="162"/>
  <c r="AB33" i="162"/>
  <c r="AA33" i="162"/>
  <c r="Z33" i="162"/>
  <c r="Y33" i="162"/>
  <c r="X33" i="162"/>
  <c r="W33" i="162"/>
  <c r="U33" i="162"/>
  <c r="T33" i="162"/>
  <c r="R33" i="162"/>
  <c r="Q33" i="162"/>
  <c r="P33" i="162"/>
  <c r="N33" i="162"/>
  <c r="M33" i="162"/>
  <c r="L33" i="162"/>
  <c r="K33" i="162"/>
  <c r="J33" i="162"/>
  <c r="D33" i="162"/>
  <c r="AO31" i="162"/>
  <c r="I31" i="162"/>
  <c r="D31" i="162"/>
  <c r="AO30" i="162"/>
  <c r="I30" i="162"/>
  <c r="D30" i="162"/>
  <c r="AL29" i="162"/>
  <c r="AK29" i="162"/>
  <c r="AJ29" i="162"/>
  <c r="AI29" i="162"/>
  <c r="AH29" i="162"/>
  <c r="AG29" i="162"/>
  <c r="AF29" i="162"/>
  <c r="AE29" i="162"/>
  <c r="AD29" i="162"/>
  <c r="AC29" i="162"/>
  <c r="AB29" i="162"/>
  <c r="AA29" i="162"/>
  <c r="Z29" i="162"/>
  <c r="Y29" i="162"/>
  <c r="X29" i="162"/>
  <c r="W29" i="162"/>
  <c r="V29" i="162"/>
  <c r="U29" i="162"/>
  <c r="T29" i="162"/>
  <c r="R29" i="162"/>
  <c r="Q29" i="162"/>
  <c r="N29" i="162"/>
  <c r="M29" i="162"/>
  <c r="L29" i="162"/>
  <c r="K29" i="162"/>
  <c r="J29" i="162"/>
  <c r="D29" i="162"/>
  <c r="AO28" i="162"/>
  <c r="O28" i="162"/>
  <c r="I28" i="162"/>
  <c r="D28" i="162"/>
  <c r="AO27" i="162"/>
  <c r="O27" i="162"/>
  <c r="I27" i="162"/>
  <c r="D27" i="162"/>
  <c r="AL26" i="162"/>
  <c r="AL19" i="162" s="1"/>
  <c r="AK26" i="162"/>
  <c r="AJ26" i="162"/>
  <c r="AI26" i="162"/>
  <c r="AH26" i="162"/>
  <c r="AG26" i="162"/>
  <c r="AF26" i="162"/>
  <c r="AE26" i="162"/>
  <c r="AD26" i="162"/>
  <c r="AC26" i="162"/>
  <c r="AB26" i="162"/>
  <c r="AA26" i="162"/>
  <c r="Z26" i="162"/>
  <c r="Y26" i="162"/>
  <c r="X26" i="162"/>
  <c r="X19" i="162" s="1"/>
  <c r="W26" i="162"/>
  <c r="V26" i="162"/>
  <c r="U26" i="162"/>
  <c r="R26" i="162"/>
  <c r="Q26" i="162"/>
  <c r="P26" i="162"/>
  <c r="N26" i="162"/>
  <c r="M26" i="162"/>
  <c r="L26" i="162"/>
  <c r="K26" i="162"/>
  <c r="J26" i="162"/>
  <c r="H26" i="162"/>
  <c r="G26" i="162"/>
  <c r="F26" i="162"/>
  <c r="E26" i="162"/>
  <c r="AO25" i="162"/>
  <c r="U25" i="162"/>
  <c r="U23" i="162" s="1"/>
  <c r="R25" i="162"/>
  <c r="R23" i="162" s="1"/>
  <c r="P25" i="162"/>
  <c r="I25" i="162"/>
  <c r="D25" i="162"/>
  <c r="C25" i="162"/>
  <c r="AD24" i="162"/>
  <c r="AD23" i="162" s="1"/>
  <c r="W24" i="162"/>
  <c r="W23" i="162" s="1"/>
  <c r="V24" i="162"/>
  <c r="V23" i="162" s="1"/>
  <c r="Q24" i="162"/>
  <c r="Q23" i="162" s="1"/>
  <c r="P24" i="162"/>
  <c r="I24" i="162"/>
  <c r="F24" i="162"/>
  <c r="D24" i="162" s="1"/>
  <c r="AN23" i="162"/>
  <c r="AM23" i="162"/>
  <c r="AL23" i="162"/>
  <c r="AK23" i="162"/>
  <c r="AJ23" i="162"/>
  <c r="AI23" i="162"/>
  <c r="AH23" i="162"/>
  <c r="AG23" i="162"/>
  <c r="AF23" i="162"/>
  <c r="AE23" i="162"/>
  <c r="AC23" i="162"/>
  <c r="AB23" i="162"/>
  <c r="AA23" i="162"/>
  <c r="Z23" i="162"/>
  <c r="Y23" i="162"/>
  <c r="X23" i="162"/>
  <c r="T23" i="162"/>
  <c r="N23" i="162"/>
  <c r="M23" i="162"/>
  <c r="L23" i="162"/>
  <c r="K23" i="162"/>
  <c r="J23" i="162"/>
  <c r="H23" i="162"/>
  <c r="G23" i="162"/>
  <c r="E23" i="162"/>
  <c r="Y22" i="162"/>
  <c r="AO22" i="162" s="1"/>
  <c r="O22" i="162"/>
  <c r="I22" i="162"/>
  <c r="D22" i="162"/>
  <c r="C22" i="162" s="1"/>
  <c r="S22" i="162" s="1"/>
  <c r="V22" i="162" s="1"/>
  <c r="AG21" i="162"/>
  <c r="AO21" i="162" s="1"/>
  <c r="O21" i="162"/>
  <c r="I21" i="162"/>
  <c r="D21" i="162"/>
  <c r="C21" i="162" s="1"/>
  <c r="S21" i="162" s="1"/>
  <c r="V21" i="162" s="1"/>
  <c r="AN20" i="162"/>
  <c r="AM20" i="162"/>
  <c r="AL20" i="162"/>
  <c r="AK20" i="162"/>
  <c r="AJ20" i="162"/>
  <c r="AI20" i="162"/>
  <c r="AH20" i="162"/>
  <c r="AF20" i="162"/>
  <c r="AE20" i="162"/>
  <c r="AD20" i="162"/>
  <c r="AC20" i="162"/>
  <c r="AB20" i="162"/>
  <c r="AA20" i="162"/>
  <c r="Z20" i="162"/>
  <c r="X20" i="162"/>
  <c r="W20" i="162"/>
  <c r="U20" i="162"/>
  <c r="T20" i="162"/>
  <c r="R20" i="162"/>
  <c r="Q20" i="162"/>
  <c r="P20" i="162"/>
  <c r="N20" i="162"/>
  <c r="M20" i="162"/>
  <c r="L20" i="162"/>
  <c r="K20" i="162"/>
  <c r="J20" i="162"/>
  <c r="D20" i="162"/>
  <c r="AO18" i="162"/>
  <c r="I18" i="162"/>
  <c r="D18" i="162"/>
  <c r="AO17" i="162"/>
  <c r="I17" i="162"/>
  <c r="D17" i="162"/>
  <c r="C17" i="162" s="1"/>
  <c r="AL16" i="162"/>
  <c r="AK16" i="162"/>
  <c r="AJ16" i="162"/>
  <c r="AI16" i="162"/>
  <c r="AH16" i="162"/>
  <c r="AG16" i="162"/>
  <c r="AF16" i="162"/>
  <c r="AE16" i="162"/>
  <c r="AD16" i="162"/>
  <c r="AC16" i="162"/>
  <c r="AB16" i="162"/>
  <c r="AA16" i="162"/>
  <c r="Z16" i="162"/>
  <c r="Y16" i="162"/>
  <c r="X16" i="162"/>
  <c r="W16" i="162"/>
  <c r="V16" i="162"/>
  <c r="U16" i="162"/>
  <c r="T16" i="162"/>
  <c r="R16" i="162"/>
  <c r="Q16" i="162"/>
  <c r="N16" i="162"/>
  <c r="M16" i="162"/>
  <c r="L16" i="162"/>
  <c r="K16" i="162"/>
  <c r="J16" i="162"/>
  <c r="D16" i="162"/>
  <c r="AO15" i="162"/>
  <c r="O15" i="162"/>
  <c r="I15" i="162"/>
  <c r="D15" i="162"/>
  <c r="AO14" i="162"/>
  <c r="O14" i="162"/>
  <c r="I14" i="162"/>
  <c r="D14" i="162"/>
  <c r="D13" i="162" s="1"/>
  <c r="AL13" i="162"/>
  <c r="AK13" i="162"/>
  <c r="AJ13" i="162"/>
  <c r="AI13" i="162"/>
  <c r="AH13" i="162"/>
  <c r="AG13" i="162"/>
  <c r="AF13" i="162"/>
  <c r="AE13" i="162"/>
  <c r="AD13" i="162"/>
  <c r="AC13" i="162"/>
  <c r="AB13" i="162"/>
  <c r="AA13" i="162"/>
  <c r="Z13" i="162"/>
  <c r="Y13" i="162"/>
  <c r="X13" i="162"/>
  <c r="W13" i="162"/>
  <c r="V13" i="162"/>
  <c r="U13" i="162"/>
  <c r="R13" i="162"/>
  <c r="Q13" i="162"/>
  <c r="P13" i="162"/>
  <c r="N13" i="162"/>
  <c r="M13" i="162"/>
  <c r="L13" i="162"/>
  <c r="K13" i="162"/>
  <c r="J13" i="162"/>
  <c r="H13" i="162"/>
  <c r="G13" i="162"/>
  <c r="F13" i="162"/>
  <c r="E13" i="162"/>
  <c r="AO12" i="162"/>
  <c r="U12" i="162"/>
  <c r="R12" i="162"/>
  <c r="R10" i="162" s="1"/>
  <c r="P12" i="162"/>
  <c r="O12" i="162" s="1"/>
  <c r="I12" i="162"/>
  <c r="D12" i="162"/>
  <c r="C12" i="162"/>
  <c r="S12" i="162" s="1"/>
  <c r="AN11" i="162"/>
  <c r="AN10" i="162" s="1"/>
  <c r="AM11" i="162"/>
  <c r="AM10" i="162" s="1"/>
  <c r="AL11" i="162"/>
  <c r="AL10" i="162" s="1"/>
  <c r="AK11" i="162"/>
  <c r="AK10" i="162" s="1"/>
  <c r="AJ11" i="162"/>
  <c r="AJ10" i="162" s="1"/>
  <c r="AI11" i="162"/>
  <c r="AI10" i="162" s="1"/>
  <c r="AH11" i="162"/>
  <c r="AG11" i="162"/>
  <c r="AG10" i="162" s="1"/>
  <c r="AF11" i="162"/>
  <c r="AF10" i="162" s="1"/>
  <c r="AE11" i="162"/>
  <c r="AE10" i="162" s="1"/>
  <c r="AC11" i="162"/>
  <c r="AC10" i="162" s="1"/>
  <c r="AB11" i="162"/>
  <c r="AB10" i="162" s="1"/>
  <c r="AA11" i="162"/>
  <c r="AA10" i="162" s="1"/>
  <c r="Z11" i="162"/>
  <c r="Z10" i="162" s="1"/>
  <c r="Y11" i="162"/>
  <c r="Y10" i="162" s="1"/>
  <c r="X11" i="162"/>
  <c r="X10" i="162" s="1"/>
  <c r="W11" i="162"/>
  <c r="W10" i="162" s="1"/>
  <c r="V11" i="162"/>
  <c r="V10" i="162" s="1"/>
  <c r="Q11" i="162"/>
  <c r="P11" i="162"/>
  <c r="O11" i="162" s="1"/>
  <c r="I11" i="162"/>
  <c r="F11" i="162"/>
  <c r="F10" i="162" s="1"/>
  <c r="D11" i="162"/>
  <c r="D10" i="162" s="1"/>
  <c r="C11" i="162"/>
  <c r="AH10" i="162"/>
  <c r="AD10" i="162"/>
  <c r="U10" i="162"/>
  <c r="T10" i="162"/>
  <c r="Q10" i="162"/>
  <c r="P10" i="162"/>
  <c r="N10" i="162"/>
  <c r="M10" i="162"/>
  <c r="L10" i="162"/>
  <c r="K10" i="162"/>
  <c r="J10" i="162"/>
  <c r="H10" i="162"/>
  <c r="G10" i="162"/>
  <c r="E10" i="162"/>
  <c r="AO9" i="162"/>
  <c r="O9" i="162"/>
  <c r="I9" i="162"/>
  <c r="D9" i="162"/>
  <c r="C9" i="162"/>
  <c r="S9" i="162" s="1"/>
  <c r="V9" i="162" s="1"/>
  <c r="AO8" i="162"/>
  <c r="O8" i="162"/>
  <c r="I8" i="162"/>
  <c r="D8" i="162"/>
  <c r="AN7" i="162"/>
  <c r="AM7" i="162"/>
  <c r="AL7" i="162"/>
  <c r="AK7" i="162"/>
  <c r="AJ7" i="162"/>
  <c r="AI7" i="162"/>
  <c r="AH7" i="162"/>
  <c r="AH6" i="162" s="1"/>
  <c r="AG7" i="162"/>
  <c r="AF7" i="162"/>
  <c r="AE7" i="162"/>
  <c r="AD7" i="162"/>
  <c r="AC7" i="162"/>
  <c r="AB7" i="162"/>
  <c r="AA7" i="162"/>
  <c r="Z7" i="162"/>
  <c r="Y7" i="162"/>
  <c r="X7" i="162"/>
  <c r="W7" i="162"/>
  <c r="U7" i="162"/>
  <c r="T7" i="162"/>
  <c r="R7" i="162"/>
  <c r="Q7" i="162"/>
  <c r="P7" i="162"/>
  <c r="N7" i="162"/>
  <c r="M7" i="162"/>
  <c r="L7" i="162"/>
  <c r="K7" i="162"/>
  <c r="J7" i="162"/>
  <c r="D7" i="162"/>
  <c r="AC11" i="133" l="1"/>
  <c r="C28" i="162"/>
  <c r="C54" i="162"/>
  <c r="S54" i="162" s="1"/>
  <c r="V54" i="162" s="1"/>
  <c r="Y32" i="162"/>
  <c r="I10" i="162"/>
  <c r="C14" i="162"/>
  <c r="S14" i="162" s="1"/>
  <c r="C38" i="162"/>
  <c r="S38" i="162" s="1"/>
  <c r="C40" i="162"/>
  <c r="C49" i="162"/>
  <c r="S49" i="162" s="1"/>
  <c r="V49" i="162" s="1"/>
  <c r="V48" i="162" s="1"/>
  <c r="AK32" i="162"/>
  <c r="I29" i="162"/>
  <c r="C29" i="162" s="1"/>
  <c r="AK19" i="162"/>
  <c r="AE32" i="162"/>
  <c r="X32" i="162"/>
  <c r="C15" i="162"/>
  <c r="D26" i="162"/>
  <c r="C53" i="162"/>
  <c r="S53" i="162" s="1"/>
  <c r="V53" i="162" s="1"/>
  <c r="V52" i="162" s="1"/>
  <c r="E11" i="133"/>
  <c r="AD11" i="133" s="1"/>
  <c r="I26" i="162"/>
  <c r="AP12" i="162"/>
  <c r="C8" i="162"/>
  <c r="S8" i="162" s="1"/>
  <c r="V8" i="162" s="1"/>
  <c r="V7" i="162" s="1"/>
  <c r="O13" i="162"/>
  <c r="F23" i="162"/>
  <c r="P23" i="162"/>
  <c r="C34" i="162"/>
  <c r="AD58" i="162"/>
  <c r="O7" i="162"/>
  <c r="AE58" i="162"/>
  <c r="AA32" i="162"/>
  <c r="I42" i="162"/>
  <c r="C42" i="162" s="1"/>
  <c r="D36" i="162"/>
  <c r="C31" i="162"/>
  <c r="P31" i="162" s="1"/>
  <c r="O31" i="162" s="1"/>
  <c r="S31" i="162" s="1"/>
  <c r="AI19" i="162"/>
  <c r="C30" i="162"/>
  <c r="P30" i="162" s="1"/>
  <c r="AC6" i="162"/>
  <c r="I36" i="162"/>
  <c r="AA57" i="162"/>
  <c r="AA55" i="162" s="1"/>
  <c r="I33" i="162"/>
  <c r="C33" i="162" s="1"/>
  <c r="Z19" i="162"/>
  <c r="I23" i="162"/>
  <c r="I52" i="162"/>
  <c r="C52" i="162" s="1"/>
  <c r="S52" i="162" s="1"/>
  <c r="AG20" i="162"/>
  <c r="AG19" i="162" s="1"/>
  <c r="AJ19" i="162"/>
  <c r="I48" i="162"/>
  <c r="C48" i="162" s="1"/>
  <c r="S48" i="162" s="1"/>
  <c r="AL6" i="162"/>
  <c r="I20" i="162"/>
  <c r="C20" i="162" s="1"/>
  <c r="S20" i="162" s="1"/>
  <c r="Z32" i="162"/>
  <c r="AH19" i="162"/>
  <c r="C10" i="162"/>
  <c r="C18" i="162"/>
  <c r="P18" i="162" s="1"/>
  <c r="O18" i="162" s="1"/>
  <c r="S18" i="162" s="1"/>
  <c r="AJ32" i="162"/>
  <c r="D23" i="162"/>
  <c r="C24" i="162"/>
  <c r="AE6" i="162"/>
  <c r="AD19" i="162"/>
  <c r="P36" i="162"/>
  <c r="AB32" i="162"/>
  <c r="AG6" i="162"/>
  <c r="AM19" i="162"/>
  <c r="C41" i="162"/>
  <c r="AO52" i="162"/>
  <c r="AI6" i="162"/>
  <c r="X6" i="162"/>
  <c r="AJ6" i="162"/>
  <c r="O20" i="162"/>
  <c r="AA19" i="162"/>
  <c r="AN19" i="162"/>
  <c r="AO26" i="162"/>
  <c r="O33" i="162"/>
  <c r="AF32" i="162"/>
  <c r="O37" i="162"/>
  <c r="O36" i="162" s="1"/>
  <c r="AO48" i="162"/>
  <c r="AL58" i="162"/>
  <c r="AL55" i="162"/>
  <c r="AF6" i="162"/>
  <c r="Y6" i="162"/>
  <c r="AK6" i="162"/>
  <c r="AB19" i="162"/>
  <c r="O25" i="162"/>
  <c r="S25" i="162" s="1"/>
  <c r="C27" i="162"/>
  <c r="C26" i="162" s="1"/>
  <c r="AO29" i="162"/>
  <c r="AO35" i="162"/>
  <c r="AH32" i="162"/>
  <c r="AM58" i="162"/>
  <c r="AM55" i="162"/>
  <c r="AC19" i="162"/>
  <c r="AC32" i="162"/>
  <c r="AO13" i="162"/>
  <c r="AD32" i="162"/>
  <c r="AO39" i="162"/>
  <c r="C36" i="162"/>
  <c r="AO16" i="162"/>
  <c r="AF19" i="162"/>
  <c r="O26" i="162"/>
  <c r="AO42" i="162"/>
  <c r="I7" i="162"/>
  <c r="C7" i="162" s="1"/>
  <c r="S7" i="162" s="1"/>
  <c r="O24" i="162"/>
  <c r="AE19" i="162"/>
  <c r="O52" i="162"/>
  <c r="AD6" i="162"/>
  <c r="I13" i="162"/>
  <c r="I16" i="162"/>
  <c r="C16" i="162" s="1"/>
  <c r="S34" i="162"/>
  <c r="V34" i="162" s="1"/>
  <c r="V33" i="162" s="1"/>
  <c r="AO36" i="162"/>
  <c r="I39" i="162"/>
  <c r="C43" i="162"/>
  <c r="P43" i="162" s="1"/>
  <c r="AG58" i="162"/>
  <c r="AG55" i="162"/>
  <c r="AC58" i="162"/>
  <c r="J22" i="165"/>
  <c r="C20" i="165"/>
  <c r="C19" i="165" s="1"/>
  <c r="S41" i="162"/>
  <c r="AB6" i="162"/>
  <c r="Z6" i="162"/>
  <c r="O10" i="162"/>
  <c r="T28" i="162"/>
  <c r="T26" i="162" s="1"/>
  <c r="S28" i="162"/>
  <c r="S40" i="162"/>
  <c r="AN6" i="162"/>
  <c r="AM6" i="162"/>
  <c r="AP13" i="162"/>
  <c r="AO33" i="162"/>
  <c r="AA6" i="162"/>
  <c r="AO10" i="162"/>
  <c r="C13" i="162"/>
  <c r="T15" i="162"/>
  <c r="T13" i="162" s="1"/>
  <c r="S15" i="162"/>
  <c r="V20" i="162"/>
  <c r="P44" i="162"/>
  <c r="O44" i="162" s="1"/>
  <c r="S44" i="162" s="1"/>
  <c r="Y20" i="162"/>
  <c r="Y19" i="162" s="1"/>
  <c r="AH58" i="162"/>
  <c r="AO24" i="162"/>
  <c r="P17" i="162"/>
  <c r="AO7" i="162"/>
  <c r="X51" i="162"/>
  <c r="AO51" i="162" s="1"/>
  <c r="AI58" i="162"/>
  <c r="AO11" i="162"/>
  <c r="AJ58" i="162"/>
  <c r="AK58" i="162"/>
  <c r="S11" i="162"/>
  <c r="S10" i="162" s="1"/>
  <c r="AO57" i="162"/>
  <c r="D39" i="162"/>
  <c r="X47" i="162"/>
  <c r="AO47" i="162" s="1"/>
  <c r="S37" i="162" l="1"/>
  <c r="S36" i="162" s="1"/>
  <c r="S27" i="162"/>
  <c r="AO55" i="162"/>
  <c r="S13" i="162"/>
  <c r="C39" i="162"/>
  <c r="S33" i="162"/>
  <c r="T41" i="162"/>
  <c r="T39" i="162" s="1"/>
  <c r="AO32" i="162"/>
  <c r="AO58" i="162"/>
  <c r="AO6" i="162"/>
  <c r="AP19" i="162" s="1"/>
  <c r="O23" i="162"/>
  <c r="S39" i="162"/>
  <c r="AO19" i="162"/>
  <c r="S24" i="162"/>
  <c r="S23" i="162" s="1"/>
  <c r="C23" i="162"/>
  <c r="S26" i="162"/>
  <c r="D22" i="165"/>
  <c r="J21" i="165"/>
  <c r="P16" i="162"/>
  <c r="O16" i="162" s="1"/>
  <c r="S16" i="162" s="1"/>
  <c r="O17" i="162"/>
  <c r="S17" i="162" s="1"/>
  <c r="O30" i="162"/>
  <c r="S30" i="162" s="1"/>
  <c r="P29" i="162"/>
  <c r="O29" i="162" s="1"/>
  <c r="S29" i="162" s="1"/>
  <c r="O43" i="162"/>
  <c r="S43" i="162" s="1"/>
  <c r="P42" i="162"/>
  <c r="O42" i="162" s="1"/>
  <c r="S42" i="162" s="1"/>
  <c r="D21" i="165" l="1"/>
  <c r="T21" i="165" s="1"/>
  <c r="T22" i="165"/>
  <c r="S113" i="122" l="1"/>
  <c r="S114" i="122"/>
  <c r="S106" i="122"/>
  <c r="S107" i="122"/>
  <c r="S112" i="122" l="1"/>
  <c r="S105" i="122"/>
  <c r="V89" i="122" l="1"/>
  <c r="V87" i="122" s="1"/>
  <c r="V93" i="122"/>
  <c r="L88" i="122"/>
  <c r="K88" i="122" s="1"/>
  <c r="L89" i="122"/>
  <c r="M89" i="122"/>
  <c r="K89" i="122" l="1"/>
  <c r="M87" i="122"/>
  <c r="M86" i="122" s="1"/>
  <c r="L87" i="122"/>
  <c r="K33" i="80"/>
  <c r="K87" i="122" l="1"/>
  <c r="D202" i="122" l="1"/>
  <c r="L202" i="122" s="1"/>
  <c r="K202" i="122" s="1"/>
  <c r="C202" i="122" l="1"/>
  <c r="V135" i="122" l="1"/>
  <c r="L124" i="122"/>
  <c r="M124" i="122"/>
  <c r="N124" i="122"/>
  <c r="O124" i="122"/>
  <c r="R124" i="122"/>
  <c r="T124" i="122"/>
  <c r="U124" i="122"/>
  <c r="V124" i="122"/>
  <c r="L121" i="122"/>
  <c r="M121" i="122"/>
  <c r="N121" i="122"/>
  <c r="O121" i="122"/>
  <c r="R121" i="122"/>
  <c r="U121" i="122"/>
  <c r="V121" i="122"/>
  <c r="K121" i="122" l="1"/>
  <c r="K124" i="122"/>
  <c r="V104" i="122"/>
  <c r="V102" i="122" s="1"/>
  <c r="V86" i="122" s="1"/>
  <c r="V133" i="122"/>
  <c r="U195" i="122" l="1"/>
  <c r="V192" i="122" l="1"/>
  <c r="S192" i="122"/>
  <c r="D192" i="122"/>
  <c r="V191" i="122"/>
  <c r="D191" i="122"/>
  <c r="C191" i="122" s="1"/>
  <c r="V190" i="122"/>
  <c r="S190" i="122"/>
  <c r="D190" i="122"/>
  <c r="U189" i="122"/>
  <c r="H37" i="80" l="1"/>
  <c r="K37" i="80" s="1"/>
  <c r="U173" i="122"/>
  <c r="C190" i="122"/>
  <c r="C192" i="122"/>
  <c r="W190" i="122"/>
  <c r="R173" i="122"/>
  <c r="R160" i="122" s="1"/>
  <c r="U160" i="122" l="1"/>
  <c r="S173" i="122"/>
  <c r="W192" i="122"/>
  <c r="Y192" i="122" s="1"/>
  <c r="Y190" i="122"/>
  <c r="S191" i="122"/>
  <c r="S163" i="122"/>
  <c r="L96" i="122"/>
  <c r="M96" i="122"/>
  <c r="N96" i="122"/>
  <c r="O96" i="122"/>
  <c r="R96" i="122"/>
  <c r="T96" i="122"/>
  <c r="U96" i="122"/>
  <c r="V96" i="122"/>
  <c r="W191" i="122" l="1"/>
  <c r="K96" i="122"/>
  <c r="Y191" i="122"/>
  <c r="D163" i="122"/>
  <c r="S132" i="122" l="1"/>
  <c r="D132" i="122"/>
  <c r="C132" i="122" s="1"/>
  <c r="S131" i="122"/>
  <c r="D131" i="122"/>
  <c r="D101" i="122"/>
  <c r="C101" i="122" s="1"/>
  <c r="D100" i="122"/>
  <c r="C92" i="122"/>
  <c r="D94" i="122"/>
  <c r="D95" i="122"/>
  <c r="D98" i="122"/>
  <c r="D96" i="122" s="1"/>
  <c r="D117" i="122"/>
  <c r="D122" i="122"/>
  <c r="D123" i="122"/>
  <c r="C123" i="122" s="1"/>
  <c r="D125" i="122"/>
  <c r="C125" i="122" s="1"/>
  <c r="D126" i="122"/>
  <c r="C126" i="122" s="1"/>
  <c r="D128" i="122"/>
  <c r="C128" i="122" s="1"/>
  <c r="D129" i="122"/>
  <c r="C129" i="122" s="1"/>
  <c r="D134" i="122"/>
  <c r="C134" i="122" s="1"/>
  <c r="D135" i="122"/>
  <c r="C135" i="122" s="1"/>
  <c r="D137" i="122"/>
  <c r="C137" i="122" s="1"/>
  <c r="D138" i="122"/>
  <c r="C138" i="122" s="1"/>
  <c r="D147" i="122"/>
  <c r="C147" i="122" s="1"/>
  <c r="D148" i="122"/>
  <c r="C148" i="122" s="1"/>
  <c r="D150" i="122"/>
  <c r="C150" i="122" s="1"/>
  <c r="D151" i="122"/>
  <c r="C151" i="122" s="1"/>
  <c r="D153" i="122"/>
  <c r="C153" i="122" s="1"/>
  <c r="D154" i="122"/>
  <c r="C154" i="122" s="1"/>
  <c r="D156" i="122"/>
  <c r="D157" i="122"/>
  <c r="D158" i="122"/>
  <c r="D159" i="122"/>
  <c r="D162" i="122"/>
  <c r="D164" i="122"/>
  <c r="D169" i="122"/>
  <c r="D174" i="122"/>
  <c r="D175" i="122"/>
  <c r="D176" i="122"/>
  <c r="D177" i="122"/>
  <c r="D178" i="122"/>
  <c r="C178" i="122" s="1"/>
  <c r="D179" i="122"/>
  <c r="D187" i="122"/>
  <c r="D188" i="122"/>
  <c r="D189" i="122"/>
  <c r="D194" i="122"/>
  <c r="D195" i="122"/>
  <c r="D196" i="122"/>
  <c r="D197" i="122"/>
  <c r="D198" i="122"/>
  <c r="D76" i="122"/>
  <c r="C76" i="122" s="1"/>
  <c r="D80" i="122"/>
  <c r="D81" i="122"/>
  <c r="D82" i="122"/>
  <c r="D83" i="122"/>
  <c r="D84" i="122"/>
  <c r="D85" i="122"/>
  <c r="D69" i="122"/>
  <c r="D70" i="122"/>
  <c r="D72" i="122"/>
  <c r="C72" i="122" s="1"/>
  <c r="D73" i="122"/>
  <c r="D75" i="122"/>
  <c r="C75" i="122" s="1"/>
  <c r="T71" i="122"/>
  <c r="U69" i="122"/>
  <c r="U66" i="122" s="1"/>
  <c r="D161" i="122" l="1"/>
  <c r="U65" i="122"/>
  <c r="C100" i="122"/>
  <c r="D99" i="122"/>
  <c r="S130" i="122"/>
  <c r="C91" i="122"/>
  <c r="D90" i="122"/>
  <c r="D89" i="122"/>
  <c r="C122" i="122"/>
  <c r="D103" i="122"/>
  <c r="C103" i="122" s="1"/>
  <c r="C133" i="122"/>
  <c r="C152" i="122"/>
  <c r="C124" i="122"/>
  <c r="C127" i="122"/>
  <c r="C120" i="122"/>
  <c r="D130" i="122"/>
  <c r="C131" i="122"/>
  <c r="C149" i="122"/>
  <c r="C146" i="122"/>
  <c r="D115" i="122"/>
  <c r="C115" i="122" s="1"/>
  <c r="C117" i="122"/>
  <c r="C73" i="122"/>
  <c r="C136" i="122"/>
  <c r="D93" i="122"/>
  <c r="D149" i="122"/>
  <c r="D146" i="122"/>
  <c r="D71" i="122"/>
  <c r="D152" i="122"/>
  <c r="D136" i="122"/>
  <c r="D127" i="122"/>
  <c r="D120" i="122"/>
  <c r="D133" i="122"/>
  <c r="D119" i="122"/>
  <c r="W114" i="122"/>
  <c r="D112" i="122"/>
  <c r="D66" i="122"/>
  <c r="D67" i="122"/>
  <c r="D88" i="122"/>
  <c r="D121" i="122"/>
  <c r="D124" i="122"/>
  <c r="K34" i="80"/>
  <c r="C130" i="122" l="1"/>
  <c r="C121" i="122"/>
  <c r="C71" i="122"/>
  <c r="C99" i="122"/>
  <c r="U64" i="122"/>
  <c r="K31" i="80" s="1"/>
  <c r="D145" i="122"/>
  <c r="C145" i="122"/>
  <c r="D87" i="122"/>
  <c r="C90" i="122"/>
  <c r="C119" i="122"/>
  <c r="C118" i="122" s="1"/>
  <c r="D108" i="122"/>
  <c r="C112" i="122"/>
  <c r="D118" i="122"/>
  <c r="Z114" i="122"/>
  <c r="D65" i="122"/>
  <c r="D64" i="122" s="1"/>
  <c r="S100" i="122"/>
  <c r="S101" i="122"/>
  <c r="T89" i="122"/>
  <c r="W131" i="122"/>
  <c r="W132" i="122"/>
  <c r="W101" i="122" l="1"/>
  <c r="T87" i="122"/>
  <c r="U58" i="122"/>
  <c r="C108" i="122"/>
  <c r="W100" i="122"/>
  <c r="W99" i="122" s="1"/>
  <c r="S99" i="122"/>
  <c r="Z88" i="122"/>
  <c r="W130" i="122"/>
  <c r="X131" i="122"/>
  <c r="L68" i="122"/>
  <c r="M68" i="122"/>
  <c r="N68" i="122"/>
  <c r="O68" i="122"/>
  <c r="T68" i="122"/>
  <c r="U68" i="122"/>
  <c r="V68" i="122"/>
  <c r="Y68" i="122"/>
  <c r="S70" i="122"/>
  <c r="R68" i="122"/>
  <c r="C70" i="122"/>
  <c r="S69" i="122"/>
  <c r="C69" i="122"/>
  <c r="D51" i="122"/>
  <c r="S56" i="122"/>
  <c r="D56" i="122"/>
  <c r="S53" i="122"/>
  <c r="D53" i="122"/>
  <c r="C53" i="122" s="1"/>
  <c r="D39" i="122"/>
  <c r="C39" i="122" s="1"/>
  <c r="D43" i="122"/>
  <c r="D44" i="122"/>
  <c r="C44" i="122" s="1"/>
  <c r="D45" i="122"/>
  <c r="C45" i="122" s="1"/>
  <c r="D47" i="122"/>
  <c r="C47" i="122" s="1"/>
  <c r="D48" i="122"/>
  <c r="C48" i="122" s="1"/>
  <c r="D38" i="122"/>
  <c r="C38" i="122" s="1"/>
  <c r="Y41" i="122"/>
  <c r="Z41" i="122"/>
  <c r="Y42" i="122"/>
  <c r="Y15" i="122" s="1"/>
  <c r="S48" i="122"/>
  <c r="S45" i="122"/>
  <c r="Y43" i="122"/>
  <c r="V43" i="122"/>
  <c r="U43" i="122"/>
  <c r="M43" i="122"/>
  <c r="L43" i="122"/>
  <c r="D18" i="122"/>
  <c r="D27" i="122"/>
  <c r="C27" i="122" s="1"/>
  <c r="D35" i="122"/>
  <c r="C35" i="122" s="1"/>
  <c r="D36" i="122"/>
  <c r="C36" i="122" s="1"/>
  <c r="AC87" i="122" l="1"/>
  <c r="Y14" i="122"/>
  <c r="C21" i="122"/>
  <c r="C19" i="122" s="1"/>
  <c r="X130" i="122"/>
  <c r="K43" i="122"/>
  <c r="C43" i="122" s="1"/>
  <c r="S42" i="122"/>
  <c r="K68" i="122"/>
  <c r="C18" i="122"/>
  <c r="D16" i="122"/>
  <c r="C41" i="122"/>
  <c r="C46" i="122"/>
  <c r="C34" i="122"/>
  <c r="C30" i="122"/>
  <c r="C68" i="122"/>
  <c r="D55" i="122"/>
  <c r="C56" i="122"/>
  <c r="C50" i="122" s="1"/>
  <c r="C42" i="122"/>
  <c r="D25" i="122"/>
  <c r="C25" i="122" s="1"/>
  <c r="D21" i="122"/>
  <c r="D50" i="122"/>
  <c r="D49" i="122" s="1"/>
  <c r="D52" i="122"/>
  <c r="C52" i="122" s="1"/>
  <c r="D34" i="122"/>
  <c r="S50" i="122"/>
  <c r="Y40" i="122"/>
  <c r="D46" i="122"/>
  <c r="D37" i="122"/>
  <c r="C37" i="122" s="1"/>
  <c r="D42" i="122"/>
  <c r="D41" i="122"/>
  <c r="M49" i="122"/>
  <c r="K49" i="122" s="1"/>
  <c r="M28" i="122"/>
  <c r="K28" i="122" s="1"/>
  <c r="J20" i="165"/>
  <c r="D68" i="122"/>
  <c r="S68" i="122"/>
  <c r="S57" i="122"/>
  <c r="T43" i="122"/>
  <c r="S43" i="122" s="1"/>
  <c r="S47" i="122"/>
  <c r="Z45" i="122"/>
  <c r="S54" i="122"/>
  <c r="D29" i="122"/>
  <c r="D30" i="122"/>
  <c r="F33" i="80" l="1"/>
  <c r="C16" i="122"/>
  <c r="S55" i="122"/>
  <c r="C55" i="122"/>
  <c r="C40" i="122"/>
  <c r="S46" i="122"/>
  <c r="C15" i="122"/>
  <c r="C29" i="122"/>
  <c r="D14" i="122"/>
  <c r="W56" i="122"/>
  <c r="D40" i="122"/>
  <c r="C49" i="122"/>
  <c r="S51" i="122"/>
  <c r="S49" i="122" s="1"/>
  <c r="S52" i="122"/>
  <c r="S41" i="122"/>
  <c r="Z48" i="122"/>
  <c r="D28" i="122"/>
  <c r="W70" i="122"/>
  <c r="J19" i="165"/>
  <c r="D20" i="165"/>
  <c r="Z70" i="122"/>
  <c r="W69" i="122"/>
  <c r="W43" i="122"/>
  <c r="W47" i="122"/>
  <c r="W53" i="122"/>
  <c r="W57" i="122"/>
  <c r="W45" i="122"/>
  <c r="W54" i="122"/>
  <c r="Z43" i="122"/>
  <c r="W44" i="122"/>
  <c r="W48" i="122"/>
  <c r="W55" i="122" l="1"/>
  <c r="S40" i="122"/>
  <c r="Z46" i="122"/>
  <c r="C28" i="122"/>
  <c r="C14" i="122"/>
  <c r="W41" i="122"/>
  <c r="Z42" i="122"/>
  <c r="W51" i="122"/>
  <c r="W50" i="122"/>
  <c r="X53" i="122"/>
  <c r="W52" i="122"/>
  <c r="W46" i="122"/>
  <c r="W42" i="122"/>
  <c r="Z68" i="122"/>
  <c r="D19" i="165"/>
  <c r="T19" i="165" s="1"/>
  <c r="T20" i="165"/>
  <c r="W68" i="122"/>
  <c r="W40" i="122" l="1"/>
  <c r="C13" i="122"/>
  <c r="W49" i="122"/>
  <c r="Z40" i="122"/>
  <c r="X50" i="122"/>
  <c r="X52" i="122"/>
  <c r="S39" i="122"/>
  <c r="S38" i="122"/>
  <c r="X49" i="122" l="1"/>
  <c r="C12" i="122"/>
  <c r="S37" i="122"/>
  <c r="W39" i="122"/>
  <c r="S36" i="122"/>
  <c r="S35" i="122"/>
  <c r="S33" i="122"/>
  <c r="S32" i="122"/>
  <c r="T14" i="122"/>
  <c r="U14" i="122"/>
  <c r="V14" i="122"/>
  <c r="M15" i="122"/>
  <c r="M13" i="122" s="1"/>
  <c r="M12" i="122" s="1"/>
  <c r="T15" i="122"/>
  <c r="U15" i="122"/>
  <c r="V15" i="122"/>
  <c r="S27" i="122"/>
  <c r="S26" i="122"/>
  <c r="S24" i="122"/>
  <c r="S23" i="122"/>
  <c r="S30" i="122" l="1"/>
  <c r="S21" i="122"/>
  <c r="W36" i="122"/>
  <c r="S20" i="122"/>
  <c r="S19" i="122" s="1"/>
  <c r="S29" i="122"/>
  <c r="V13" i="122"/>
  <c r="V12" i="122" s="1"/>
  <c r="V11" i="122" s="1"/>
  <c r="S34" i="122"/>
  <c r="S25" i="122"/>
  <c r="W23" i="122"/>
  <c r="Z23" i="122"/>
  <c r="Z24" i="122"/>
  <c r="S22" i="122"/>
  <c r="S31" i="122"/>
  <c r="L15" i="122"/>
  <c r="L14" i="122"/>
  <c r="K14" i="122" s="1"/>
  <c r="L19" i="122"/>
  <c r="N19" i="122"/>
  <c r="N15" i="122"/>
  <c r="N13" i="122" s="1"/>
  <c r="N12" i="122" s="1"/>
  <c r="N11" i="122" s="1"/>
  <c r="U13" i="122"/>
  <c r="U12" i="122" s="1"/>
  <c r="U11" i="122" s="1"/>
  <c r="T13" i="122"/>
  <c r="W24" i="122"/>
  <c r="W38" i="122"/>
  <c r="D15" i="122"/>
  <c r="Z27" i="122"/>
  <c r="W27" i="122"/>
  <c r="Z25" i="122" l="1"/>
  <c r="S28" i="122"/>
  <c r="Z20" i="122"/>
  <c r="T12" i="122"/>
  <c r="K15" i="122"/>
  <c r="W21" i="122"/>
  <c r="Z21" i="122"/>
  <c r="K19" i="122"/>
  <c r="L13" i="122"/>
  <c r="D13" i="122"/>
  <c r="D12" i="122" s="1"/>
  <c r="W22" i="122"/>
  <c r="Z22" i="122"/>
  <c r="D19" i="122"/>
  <c r="Y13" i="122"/>
  <c r="Y12" i="122" s="1"/>
  <c r="X38" i="122"/>
  <c r="W37" i="122"/>
  <c r="K28" i="80"/>
  <c r="W33" i="122"/>
  <c r="W30" i="122" s="1"/>
  <c r="W32" i="122"/>
  <c r="W35" i="122"/>
  <c r="W29" i="122" l="1"/>
  <c r="Z19" i="122"/>
  <c r="X37" i="122"/>
  <c r="L12" i="122"/>
  <c r="K12" i="122" s="1"/>
  <c r="K13" i="122"/>
  <c r="W28" i="122"/>
  <c r="W31" i="122"/>
  <c r="X35" i="122"/>
  <c r="W34" i="122"/>
  <c r="D205" i="122"/>
  <c r="D204" i="122" s="1"/>
  <c r="D203" i="122"/>
  <c r="S202" i="122"/>
  <c r="S199" i="122"/>
  <c r="D199" i="122"/>
  <c r="V198" i="122"/>
  <c r="S198" i="122"/>
  <c r="C198" i="122"/>
  <c r="V197" i="122"/>
  <c r="S197" i="122"/>
  <c r="C197" i="122"/>
  <c r="C196" i="122"/>
  <c r="S195" i="122"/>
  <c r="C195" i="122"/>
  <c r="C194" i="122"/>
  <c r="V189" i="122"/>
  <c r="S189" i="122"/>
  <c r="C189" i="122"/>
  <c r="S188" i="122"/>
  <c r="C188" i="122"/>
  <c r="V187" i="122"/>
  <c r="S187" i="122"/>
  <c r="C187" i="122"/>
  <c r="S179" i="122"/>
  <c r="S178" i="122"/>
  <c r="S177" i="122"/>
  <c r="C177" i="122"/>
  <c r="S176" i="122"/>
  <c r="C176" i="122"/>
  <c r="S175" i="122"/>
  <c r="C175" i="122"/>
  <c r="S174" i="122"/>
  <c r="C174" i="122"/>
  <c r="N160" i="122"/>
  <c r="S169" i="122"/>
  <c r="C169" i="122"/>
  <c r="S164" i="122"/>
  <c r="C164" i="122"/>
  <c r="C163" i="122"/>
  <c r="S162" i="122"/>
  <c r="C162" i="122"/>
  <c r="V159" i="122"/>
  <c r="S159" i="122"/>
  <c r="C159" i="122"/>
  <c r="V158" i="122"/>
  <c r="S158" i="122"/>
  <c r="C158" i="122"/>
  <c r="C157" i="122"/>
  <c r="T156" i="122"/>
  <c r="R156" i="122"/>
  <c r="R155" i="122" s="1"/>
  <c r="R10" i="122" s="1"/>
  <c r="O156" i="122"/>
  <c r="N156" i="122"/>
  <c r="N155" i="122" s="1"/>
  <c r="M156" i="122"/>
  <c r="L156" i="122"/>
  <c r="S152" i="122"/>
  <c r="S151" i="122"/>
  <c r="S150" i="122"/>
  <c r="S148" i="122"/>
  <c r="S147" i="122"/>
  <c r="S144" i="122"/>
  <c r="S143" i="122"/>
  <c r="S141" i="122"/>
  <c r="Z140" i="122"/>
  <c r="T138" i="122"/>
  <c r="S137" i="122"/>
  <c r="S135" i="122"/>
  <c r="S134" i="122"/>
  <c r="S129" i="122"/>
  <c r="S128" i="122"/>
  <c r="S126" i="122"/>
  <c r="S125" i="122"/>
  <c r="S117" i="122"/>
  <c r="S116" i="122"/>
  <c r="S110" i="122"/>
  <c r="S98" i="122"/>
  <c r="C98" i="122"/>
  <c r="S97" i="122"/>
  <c r="C97" i="122"/>
  <c r="S92" i="122"/>
  <c r="S91" i="122"/>
  <c r="S85" i="122"/>
  <c r="C85" i="122"/>
  <c r="S84" i="122"/>
  <c r="C84" i="122"/>
  <c r="Y83" i="122"/>
  <c r="V83" i="122"/>
  <c r="U83" i="122"/>
  <c r="T83" i="122"/>
  <c r="R83" i="122"/>
  <c r="O83" i="122"/>
  <c r="N83" i="122"/>
  <c r="M83" i="122"/>
  <c r="L83" i="122"/>
  <c r="C82" i="122"/>
  <c r="C81" i="122"/>
  <c r="V80" i="122"/>
  <c r="U80" i="122"/>
  <c r="R80" i="122"/>
  <c r="O80" i="122"/>
  <c r="N80" i="122"/>
  <c r="M80" i="122"/>
  <c r="L80" i="122"/>
  <c r="S76" i="122"/>
  <c r="S75" i="122"/>
  <c r="Y74" i="122"/>
  <c r="V74" i="122"/>
  <c r="U74" i="122"/>
  <c r="T74" i="122"/>
  <c r="L74" i="122"/>
  <c r="K74" i="122" s="1"/>
  <c r="D74" i="122"/>
  <c r="S73" i="122"/>
  <c r="S72" i="122"/>
  <c r="V71" i="122"/>
  <c r="U71" i="122"/>
  <c r="O71" i="122"/>
  <c r="N71" i="122"/>
  <c r="M71" i="122"/>
  <c r="L71" i="122"/>
  <c r="S62" i="122"/>
  <c r="C62" i="122"/>
  <c r="S61" i="122"/>
  <c r="C61" i="122"/>
  <c r="S18" i="122"/>
  <c r="S17" i="122"/>
  <c r="W17" i="122" s="1"/>
  <c r="Z17" i="122" s="1"/>
  <c r="C161" i="122" l="1"/>
  <c r="S161" i="122"/>
  <c r="K80" i="122"/>
  <c r="V173" i="122"/>
  <c r="V160" i="122" s="1"/>
  <c r="K83" i="122"/>
  <c r="C83" i="122" s="1"/>
  <c r="D14" i="165"/>
  <c r="D8" i="165" s="1"/>
  <c r="C179" i="122"/>
  <c r="W179" i="122" s="1"/>
  <c r="Y179" i="122" s="1"/>
  <c r="S16" i="122"/>
  <c r="S15" i="122"/>
  <c r="W116" i="122"/>
  <c r="Z116" i="122" s="1"/>
  <c r="W92" i="122"/>
  <c r="W61" i="122"/>
  <c r="W202" i="122"/>
  <c r="W163" i="122"/>
  <c r="Y163" i="122" s="1"/>
  <c r="W164" i="122"/>
  <c r="L155" i="122"/>
  <c r="K156" i="122"/>
  <c r="C205" i="122"/>
  <c r="C199" i="122"/>
  <c r="C96" i="122"/>
  <c r="C67" i="122"/>
  <c r="S60" i="122"/>
  <c r="C156" i="122"/>
  <c r="S90" i="122"/>
  <c r="W91" i="122"/>
  <c r="W97" i="122"/>
  <c r="Y97" i="122" s="1"/>
  <c r="Y88" i="122" s="1"/>
  <c r="C60" i="122"/>
  <c r="C59" i="122" s="1"/>
  <c r="D173" i="122"/>
  <c r="D160" i="122" s="1"/>
  <c r="C66" i="122"/>
  <c r="C95" i="122"/>
  <c r="W95" i="122" s="1"/>
  <c r="S149" i="122"/>
  <c r="S146" i="122"/>
  <c r="S139" i="122"/>
  <c r="W141" i="122"/>
  <c r="Z141" i="122" s="1"/>
  <c r="T104" i="122"/>
  <c r="T136" i="122"/>
  <c r="S142" i="122"/>
  <c r="W143" i="122"/>
  <c r="Z143" i="122" s="1"/>
  <c r="S109" i="122"/>
  <c r="S133" i="122"/>
  <c r="S127" i="122"/>
  <c r="W128" i="122"/>
  <c r="X128" i="122" s="1"/>
  <c r="S115" i="122"/>
  <c r="S14" i="122"/>
  <c r="X34" i="122"/>
  <c r="X29" i="122"/>
  <c r="Z85" i="122"/>
  <c r="Z84" i="122"/>
  <c r="W75" i="122"/>
  <c r="Z75" i="122" s="1"/>
  <c r="W117" i="122"/>
  <c r="Z117" i="122" s="1"/>
  <c r="M155" i="122"/>
  <c r="M58" i="122"/>
  <c r="W135" i="122"/>
  <c r="X135" i="122" s="1"/>
  <c r="W18" i="122"/>
  <c r="W15" i="122" s="1"/>
  <c r="S89" i="122"/>
  <c r="W113" i="122"/>
  <c r="W106" i="122"/>
  <c r="S124" i="122"/>
  <c r="S88" i="122"/>
  <c r="L173" i="122"/>
  <c r="S205" i="122"/>
  <c r="W153" i="122"/>
  <c r="Z153" i="122" s="1"/>
  <c r="S96" i="122"/>
  <c r="S138" i="122"/>
  <c r="S81" i="122"/>
  <c r="S82" i="122"/>
  <c r="T155" i="122"/>
  <c r="W110" i="122"/>
  <c r="Z110" i="122" s="1"/>
  <c r="S83" i="122"/>
  <c r="S71" i="122"/>
  <c r="S74" i="122"/>
  <c r="V145" i="122"/>
  <c r="C80" i="122"/>
  <c r="C203" i="122"/>
  <c r="W203" i="122" s="1"/>
  <c r="M160" i="122"/>
  <c r="C74" i="122"/>
  <c r="W176" i="122"/>
  <c r="Y176" i="122" s="1"/>
  <c r="O173" i="122"/>
  <c r="O160" i="122" s="1"/>
  <c r="W134" i="122"/>
  <c r="X134" i="122" s="1"/>
  <c r="U145" i="122"/>
  <c r="W178" i="122"/>
  <c r="W158" i="122"/>
  <c r="AA158" i="122" s="1"/>
  <c r="R71" i="122"/>
  <c r="K71" i="122" s="1"/>
  <c r="S80" i="122"/>
  <c r="W198" i="122"/>
  <c r="W62" i="122"/>
  <c r="C94" i="122"/>
  <c r="W94" i="122" s="1"/>
  <c r="W159" i="122"/>
  <c r="Y159" i="122" s="1"/>
  <c r="W174" i="122"/>
  <c r="Y174" i="122" s="1"/>
  <c r="W188" i="122"/>
  <c r="Y188" i="122" s="1"/>
  <c r="W189" i="122"/>
  <c r="Y189" i="122" s="1"/>
  <c r="T145" i="122"/>
  <c r="W187" i="122"/>
  <c r="V156" i="122"/>
  <c r="W175" i="122"/>
  <c r="W197" i="122"/>
  <c r="W195" i="122"/>
  <c r="W144" i="122"/>
  <c r="Z144" i="122" s="1"/>
  <c r="W129" i="122"/>
  <c r="W73" i="122"/>
  <c r="X73" i="122" s="1"/>
  <c r="W148" i="122"/>
  <c r="X148" i="122" s="1"/>
  <c r="W137" i="122"/>
  <c r="W126" i="122"/>
  <c r="W98" i="122"/>
  <c r="W151" i="122"/>
  <c r="W154" i="122"/>
  <c r="Z154" i="122" s="1"/>
  <c r="O155" i="122"/>
  <c r="V155" i="122" l="1"/>
  <c r="V10" i="122" s="1"/>
  <c r="X127" i="122"/>
  <c r="C89" i="122"/>
  <c r="S204" i="122"/>
  <c r="S67" i="122"/>
  <c r="S66" i="122"/>
  <c r="S136" i="122"/>
  <c r="Z139" i="122"/>
  <c r="T102" i="122"/>
  <c r="S108" i="122"/>
  <c r="S13" i="122"/>
  <c r="S87" i="122"/>
  <c r="S59" i="122"/>
  <c r="W199" i="122"/>
  <c r="C204" i="122"/>
  <c r="K173" i="122"/>
  <c r="K155" i="122"/>
  <c r="C65" i="122"/>
  <c r="C64" i="122" s="1"/>
  <c r="C58" i="122" s="1"/>
  <c r="C155" i="122"/>
  <c r="W16" i="122"/>
  <c r="W60" i="122"/>
  <c r="W59" i="122" s="1"/>
  <c r="C93" i="122"/>
  <c r="C88" i="122"/>
  <c r="X28" i="122"/>
  <c r="X14" i="122"/>
  <c r="W85" i="122"/>
  <c r="Z142" i="122"/>
  <c r="W139" i="122"/>
  <c r="Z152" i="122"/>
  <c r="W142" i="122"/>
  <c r="X133" i="122"/>
  <c r="W133" i="122"/>
  <c r="W127" i="122"/>
  <c r="T119" i="122"/>
  <c r="T120" i="122"/>
  <c r="W109" i="122"/>
  <c r="AB110" i="122" s="1"/>
  <c r="Z109" i="122"/>
  <c r="W84" i="122"/>
  <c r="Z115" i="122"/>
  <c r="W115" i="122"/>
  <c r="W112" i="122"/>
  <c r="Z113" i="122"/>
  <c r="Z66" i="122"/>
  <c r="W72" i="122"/>
  <c r="X72" i="122" s="1"/>
  <c r="Z18" i="122"/>
  <c r="Y178" i="122"/>
  <c r="D7" i="165"/>
  <c r="Y112" i="122"/>
  <c r="W177" i="122"/>
  <c r="Y177" i="122" s="1"/>
  <c r="Y187" i="122"/>
  <c r="S123" i="122"/>
  <c r="H35" i="80"/>
  <c r="Y158" i="122"/>
  <c r="Y175" i="122"/>
  <c r="W205" i="122"/>
  <c r="W204" i="122" s="1"/>
  <c r="W169" i="122"/>
  <c r="Z169" i="122" s="1"/>
  <c r="Z161" i="122" s="1"/>
  <c r="W152" i="122"/>
  <c r="W125" i="122"/>
  <c r="AB125" i="122" s="1"/>
  <c r="Y138" i="122"/>
  <c r="W138" i="122"/>
  <c r="W136" i="122" s="1"/>
  <c r="W76" i="122"/>
  <c r="Z76" i="122" s="1"/>
  <c r="W147" i="122"/>
  <c r="W150" i="122"/>
  <c r="W82" i="122"/>
  <c r="X82" i="122" s="1"/>
  <c r="W83" i="122"/>
  <c r="L160" i="122"/>
  <c r="K160" i="122" s="1"/>
  <c r="D58" i="122"/>
  <c r="W81" i="122"/>
  <c r="W162" i="122"/>
  <c r="W74" i="122"/>
  <c r="M11" i="122"/>
  <c r="L58" i="122"/>
  <c r="K58" i="122" s="1"/>
  <c r="Z83" i="122"/>
  <c r="S145" i="122"/>
  <c r="L86" i="122"/>
  <c r="K86" i="122" s="1"/>
  <c r="S194" i="122"/>
  <c r="W161" i="122" l="1"/>
  <c r="C87" i="122"/>
  <c r="F37" i="80"/>
  <c r="S65" i="122"/>
  <c r="S64" i="122" s="1"/>
  <c r="AB65" i="122" s="1"/>
  <c r="Y173" i="122"/>
  <c r="W93" i="122"/>
  <c r="Z15" i="122"/>
  <c r="X71" i="122"/>
  <c r="Z112" i="122"/>
  <c r="Z108" i="122" s="1"/>
  <c r="Y104" i="122"/>
  <c r="Y102" i="122" s="1"/>
  <c r="Z14" i="122"/>
  <c r="W88" i="122"/>
  <c r="X67" i="122"/>
  <c r="S104" i="122"/>
  <c r="Z67" i="122"/>
  <c r="Z65" i="122" s="1"/>
  <c r="Z64" i="122" s="1"/>
  <c r="X13" i="122"/>
  <c r="S12" i="122"/>
  <c r="Y108" i="122"/>
  <c r="W194" i="122"/>
  <c r="Z145" i="122"/>
  <c r="Z160" i="122"/>
  <c r="AA160" i="122"/>
  <c r="W90" i="122"/>
  <c r="W89" i="122"/>
  <c r="Z16" i="122"/>
  <c r="W96" i="122"/>
  <c r="Y96" i="122"/>
  <c r="C173" i="122"/>
  <c r="W71" i="122"/>
  <c r="W146" i="122"/>
  <c r="X147" i="122"/>
  <c r="W149" i="122"/>
  <c r="X150" i="122"/>
  <c r="Y136" i="122"/>
  <c r="X125" i="122"/>
  <c r="W124" i="122"/>
  <c r="S120" i="122"/>
  <c r="T118" i="122"/>
  <c r="W108" i="122"/>
  <c r="O11" i="122"/>
  <c r="W66" i="122"/>
  <c r="W67" i="122"/>
  <c r="X81" i="122"/>
  <c r="W80" i="122"/>
  <c r="W145" i="122"/>
  <c r="Z74" i="122"/>
  <c r="W123" i="122"/>
  <c r="Z106" i="122"/>
  <c r="S122" i="122"/>
  <c r="L11" i="122"/>
  <c r="L10" i="122" s="1"/>
  <c r="U156" i="122"/>
  <c r="U155" i="122" s="1"/>
  <c r="S157" i="122"/>
  <c r="M10" i="122"/>
  <c r="Y162" i="122"/>
  <c r="C14" i="165"/>
  <c r="N10" i="122"/>
  <c r="T58" i="122"/>
  <c r="Y161" i="122" l="1"/>
  <c r="Z58" i="122"/>
  <c r="W87" i="122"/>
  <c r="Y87" i="122"/>
  <c r="Z13" i="122"/>
  <c r="Z12" i="122" s="1"/>
  <c r="X66" i="122"/>
  <c r="X124" i="122"/>
  <c r="Z103" i="122"/>
  <c r="S58" i="122"/>
  <c r="X12" i="122"/>
  <c r="X146" i="122"/>
  <c r="C160" i="122"/>
  <c r="X149" i="122"/>
  <c r="O10" i="122"/>
  <c r="W157" i="122"/>
  <c r="Y157" i="122" s="1"/>
  <c r="Z89" i="122"/>
  <c r="Z90" i="122"/>
  <c r="S119" i="122"/>
  <c r="S103" i="122"/>
  <c r="W120" i="122"/>
  <c r="X123" i="122"/>
  <c r="W65" i="122"/>
  <c r="W64" i="122" s="1"/>
  <c r="W58" i="122" s="1"/>
  <c r="X80" i="122"/>
  <c r="C8" i="165"/>
  <c r="T14" i="165"/>
  <c r="T86" i="122"/>
  <c r="U10" i="122"/>
  <c r="S156" i="122"/>
  <c r="W122" i="122"/>
  <c r="W103" i="122" s="1"/>
  <c r="S121" i="122"/>
  <c r="F34" i="80" l="1"/>
  <c r="AC88" i="122"/>
  <c r="Y156" i="122"/>
  <c r="Y155" i="122" s="1"/>
  <c r="W156" i="122"/>
  <c r="W155" i="122" s="1"/>
  <c r="X65" i="122"/>
  <c r="X104" i="122"/>
  <c r="Y86" i="122"/>
  <c r="Y11" i="122" s="1"/>
  <c r="X145" i="122"/>
  <c r="S86" i="122"/>
  <c r="S11" i="122" s="1"/>
  <c r="S118" i="122"/>
  <c r="S102" i="122"/>
  <c r="T11" i="122"/>
  <c r="T10" i="122" s="1"/>
  <c r="AA156" i="122"/>
  <c r="Y160" i="122"/>
  <c r="Z87" i="122"/>
  <c r="X120" i="122"/>
  <c r="W121" i="122"/>
  <c r="X122" i="122"/>
  <c r="W119" i="122"/>
  <c r="W118" i="122" s="1"/>
  <c r="C7" i="165"/>
  <c r="T8" i="165"/>
  <c r="S155" i="122"/>
  <c r="AA155" i="122" l="1"/>
  <c r="Y10" i="122"/>
  <c r="X64" i="122"/>
  <c r="X103" i="122"/>
  <c r="X119" i="122"/>
  <c r="X121" i="122"/>
  <c r="U7" i="165"/>
  <c r="T7" i="165"/>
  <c r="K11" i="122"/>
  <c r="AC89" i="122" l="1"/>
  <c r="AB88" i="122"/>
  <c r="AA10" i="122"/>
  <c r="X102" i="122"/>
  <c r="X58" i="122"/>
  <c r="X118" i="122"/>
  <c r="X86" i="122" l="1"/>
  <c r="K10" i="122"/>
  <c r="X11" i="122" l="1"/>
  <c r="X10" i="122" l="1"/>
  <c r="D13" i="152" l="1"/>
  <c r="J22" i="152" s="1"/>
  <c r="J15" i="152" s="1"/>
  <c r="J6" i="152" s="1"/>
  <c r="D11" i="152"/>
  <c r="I15" i="152"/>
  <c r="K15" i="152"/>
  <c r="L15" i="152"/>
  <c r="H17" i="152"/>
  <c r="H18" i="152"/>
  <c r="H19" i="152"/>
  <c r="M15" i="152"/>
  <c r="M11" i="152" s="1"/>
  <c r="N15" i="152"/>
  <c r="N11" i="152" s="1"/>
  <c r="H16" i="152"/>
  <c r="E11" i="152"/>
  <c r="F11" i="152"/>
  <c r="G11" i="152"/>
  <c r="H11" i="152"/>
  <c r="I11" i="152"/>
  <c r="J11" i="152"/>
  <c r="K11" i="152"/>
  <c r="L11" i="152"/>
  <c r="C12" i="152"/>
  <c r="D7" i="152"/>
  <c r="E7" i="152"/>
  <c r="F7" i="152"/>
  <c r="G7" i="152"/>
  <c r="H7" i="152"/>
  <c r="I7" i="152"/>
  <c r="J7" i="152"/>
  <c r="K7" i="152"/>
  <c r="M7" i="152"/>
  <c r="N7" i="152"/>
  <c r="R8" i="83" l="1"/>
  <c r="X16" i="133" l="1"/>
  <c r="X11" i="133" s="1"/>
  <c r="U16" i="133"/>
  <c r="U11" i="133" s="1"/>
  <c r="R16" i="133"/>
  <c r="R11" i="133" s="1"/>
  <c r="L16" i="133"/>
  <c r="L11" i="133" s="1"/>
  <c r="I16" i="133"/>
  <c r="I11" i="133" s="1"/>
  <c r="F16" i="133"/>
  <c r="F11" i="133" s="1"/>
  <c r="C16" i="133" l="1"/>
  <c r="C11" i="133" s="1"/>
  <c r="O16" i="133"/>
  <c r="O11" i="133" s="1"/>
  <c r="AB11" i="133" l="1"/>
  <c r="AB16" i="133"/>
  <c r="F33" i="79" l="1"/>
  <c r="D28" i="79" l="1"/>
  <c r="C34" i="80" l="1"/>
  <c r="C34" i="78" s="1"/>
  <c r="H11" i="85" s="1"/>
  <c r="H10" i="85" s="1"/>
  <c r="C33" i="80"/>
  <c r="C33" i="78" s="1"/>
  <c r="G11" i="85" s="1"/>
  <c r="E32" i="80"/>
  <c r="F11" i="85" l="1"/>
  <c r="G10" i="85"/>
  <c r="I33" i="80"/>
  <c r="I34" i="80"/>
  <c r="C32" i="80"/>
  <c r="C32" i="78"/>
  <c r="F15" i="80"/>
  <c r="I15" i="80" s="1"/>
  <c r="F14" i="80"/>
  <c r="I14" i="80" s="1"/>
  <c r="C11" i="85" l="1"/>
  <c r="F10" i="85"/>
  <c r="V10" i="85" s="1"/>
  <c r="V11" i="85"/>
  <c r="D34" i="78"/>
  <c r="S11" i="85" l="1"/>
  <c r="C10" i="85"/>
  <c r="W11" i="85"/>
  <c r="E34" i="78"/>
  <c r="W10" i="85" l="1"/>
  <c r="S10" i="85"/>
  <c r="H32" i="80"/>
  <c r="K32" i="80" s="1"/>
  <c r="D33" i="78" l="1"/>
  <c r="E33" i="78" s="1"/>
  <c r="F32" i="80" l="1"/>
  <c r="I32" i="80" s="1"/>
  <c r="D32" i="78"/>
  <c r="E32" i="78" s="1"/>
  <c r="F28" i="80" l="1"/>
  <c r="I28" i="80" s="1"/>
  <c r="D28" i="78" l="1"/>
  <c r="H23" i="152" l="1"/>
  <c r="H22" i="152"/>
  <c r="H21" i="152"/>
  <c r="H20" i="152"/>
  <c r="K6" i="152"/>
  <c r="C14" i="152"/>
  <c r="C13" i="152"/>
  <c r="C11" i="152" s="1"/>
  <c r="C10" i="152"/>
  <c r="C9" i="152" s="1"/>
  <c r="D9" i="152"/>
  <c r="D6" i="152" s="1"/>
  <c r="L8" i="152"/>
  <c r="L7" i="152" s="1"/>
  <c r="C8" i="152"/>
  <c r="C7" i="152" s="1"/>
  <c r="G6" i="152"/>
  <c r="F6" i="152"/>
  <c r="C6" i="152" l="1"/>
  <c r="H15" i="152"/>
  <c r="I6" i="152"/>
  <c r="M6" i="152" s="1"/>
  <c r="E6" i="152"/>
  <c r="N6" i="152" s="1"/>
  <c r="H6" i="152"/>
  <c r="L6" i="152" l="1"/>
  <c r="D18" i="91" l="1"/>
  <c r="D20" i="91"/>
  <c r="E10" i="91"/>
  <c r="C73" i="78" l="1"/>
  <c r="C13" i="83" l="1"/>
  <c r="E14" i="81" s="1"/>
  <c r="C14" i="83"/>
  <c r="E15" i="81" s="1"/>
  <c r="C15" i="83" l="1"/>
  <c r="E16" i="81" s="1"/>
  <c r="R14" i="81" l="1"/>
  <c r="C14" i="81"/>
  <c r="P14" i="81" s="1"/>
  <c r="C21" i="83"/>
  <c r="E22" i="81" l="1"/>
  <c r="C9" i="83"/>
  <c r="F38" i="77"/>
  <c r="F37" i="77"/>
  <c r="C12" i="75"/>
  <c r="C23" i="81" l="1"/>
  <c r="E10" i="81"/>
  <c r="E9" i="81" s="1"/>
  <c r="E35" i="80"/>
  <c r="K35" i="80" s="1"/>
  <c r="F11" i="80" l="1"/>
  <c r="F10" i="80" s="1"/>
  <c r="H26" i="80" l="1"/>
  <c r="H9" i="80" l="1"/>
  <c r="T20" i="83" l="1"/>
  <c r="T19" i="83"/>
  <c r="T17" i="83"/>
  <c r="T14" i="83"/>
  <c r="T13" i="83"/>
  <c r="T12" i="83"/>
  <c r="T11" i="83"/>
  <c r="T10" i="83"/>
  <c r="O8" i="83" l="1"/>
  <c r="F8" i="83"/>
  <c r="I8" i="83"/>
  <c r="J8" i="83"/>
  <c r="K8" i="83"/>
  <c r="G8" i="83"/>
  <c r="L8" i="83"/>
  <c r="M8" i="83"/>
  <c r="T21" i="83" l="1"/>
  <c r="T24" i="83"/>
  <c r="S8" i="83" l="1"/>
  <c r="Q8" i="83" l="1"/>
  <c r="T15" i="83"/>
  <c r="T16" i="83" l="1"/>
  <c r="D8" i="83" l="1"/>
  <c r="K10" i="80" l="1"/>
  <c r="C23" i="80"/>
  <c r="D12" i="79"/>
  <c r="C8" i="83" l="1"/>
  <c r="D62" i="77" l="1"/>
  <c r="E23" i="77" l="1"/>
  <c r="E28" i="78" l="1"/>
  <c r="C26" i="78" l="1"/>
  <c r="E13" i="79" l="1"/>
  <c r="C31" i="80" l="1"/>
  <c r="F26" i="80" l="1"/>
  <c r="D28" i="75" l="1"/>
  <c r="F28" i="75" s="1"/>
  <c r="I12" i="81" l="1"/>
  <c r="D26" i="78" l="1"/>
  <c r="E26" i="78" s="1"/>
  <c r="H64" i="77" l="1"/>
  <c r="C62" i="77"/>
  <c r="G26" i="77"/>
  <c r="G24" i="77"/>
  <c r="G64" i="77"/>
  <c r="F12" i="81"/>
  <c r="I11" i="81"/>
  <c r="E15" i="75"/>
  <c r="C11" i="81"/>
  <c r="C13" i="81"/>
  <c r="C15" i="81"/>
  <c r="C16" i="81"/>
  <c r="C17" i="81"/>
  <c r="C18" i="81"/>
  <c r="C20" i="81"/>
  <c r="C21" i="81"/>
  <c r="C22" i="81"/>
  <c r="C19" i="81"/>
  <c r="C9" i="75"/>
  <c r="C8" i="75" s="1"/>
  <c r="F21" i="80"/>
  <c r="A1" i="77"/>
  <c r="K21" i="80"/>
  <c r="A1" i="80"/>
  <c r="A1" i="91" s="1"/>
  <c r="E22" i="75"/>
  <c r="E25" i="75"/>
  <c r="E29" i="79"/>
  <c r="E31" i="79"/>
  <c r="E37" i="79"/>
  <c r="E38" i="79"/>
  <c r="E39" i="79"/>
  <c r="F40" i="79"/>
  <c r="A1" i="81"/>
  <c r="A1" i="82" s="1"/>
  <c r="A1" i="83" s="1"/>
  <c r="A1" i="78"/>
  <c r="A1" i="79"/>
  <c r="E23" i="79"/>
  <c r="E18" i="79"/>
  <c r="E22" i="79"/>
  <c r="F29" i="79"/>
  <c r="F31" i="79"/>
  <c r="E32" i="79"/>
  <c r="F32" i="79"/>
  <c r="E33" i="79"/>
  <c r="E34" i="79"/>
  <c r="F34" i="79"/>
  <c r="E36" i="79"/>
  <c r="F37" i="79"/>
  <c r="F39" i="79"/>
  <c r="E40" i="79"/>
  <c r="E41" i="79"/>
  <c r="F41" i="79"/>
  <c r="A1" i="76"/>
  <c r="G34" i="77"/>
  <c r="F23" i="77"/>
  <c r="F51" i="77"/>
  <c r="E101" i="74"/>
  <c r="E100" i="74"/>
  <c r="E99" i="74"/>
  <c r="E98" i="74"/>
  <c r="E97" i="74"/>
  <c r="E96" i="74"/>
  <c r="E95" i="74"/>
  <c r="E94" i="74"/>
  <c r="E93" i="74"/>
  <c r="E92" i="74"/>
  <c r="E91" i="74"/>
  <c r="E87" i="74"/>
  <c r="E86" i="74"/>
  <c r="E85" i="74"/>
  <c r="E83" i="74"/>
  <c r="E78" i="74"/>
  <c r="E77" i="74"/>
  <c r="E62" i="74"/>
  <c r="E61" i="74"/>
  <c r="E60" i="74"/>
  <c r="E59" i="74"/>
  <c r="E58" i="74"/>
  <c r="E57" i="74"/>
  <c r="E56" i="74"/>
  <c r="E55" i="74"/>
  <c r="E54" i="74"/>
  <c r="E52" i="74"/>
  <c r="E51" i="74"/>
  <c r="E50" i="74"/>
  <c r="E49" i="74"/>
  <c r="E48" i="74"/>
  <c r="E41" i="74"/>
  <c r="E38" i="74"/>
  <c r="E37" i="74"/>
  <c r="E36" i="74"/>
  <c r="E35" i="74"/>
  <c r="E34" i="74"/>
  <c r="E33" i="74"/>
  <c r="E32" i="74"/>
  <c r="E31" i="74"/>
  <c r="E30" i="74"/>
  <c r="E29" i="74"/>
  <c r="E28" i="74"/>
  <c r="E27" i="74"/>
  <c r="E26" i="74"/>
  <c r="E25" i="74"/>
  <c r="E24" i="74"/>
  <c r="E23" i="74"/>
  <c r="E22" i="74"/>
  <c r="E21" i="74"/>
  <c r="E20" i="74"/>
  <c r="E19" i="74"/>
  <c r="E18" i="74"/>
  <c r="E17" i="74"/>
  <c r="E15" i="74"/>
  <c r="E14" i="74"/>
  <c r="E13" i="74"/>
  <c r="E12" i="74"/>
  <c r="E11" i="74"/>
  <c r="E9" i="74"/>
  <c r="E8" i="74"/>
  <c r="E7" i="74"/>
  <c r="E6" i="74"/>
  <c r="F35" i="79"/>
  <c r="E35" i="79"/>
  <c r="F38" i="79"/>
  <c r="F28" i="79"/>
  <c r="C47" i="76"/>
  <c r="C12" i="81" l="1"/>
  <c r="C10" i="81" s="1"/>
  <c r="C9" i="81" s="1"/>
  <c r="F10" i="81"/>
  <c r="F9" i="81" s="1"/>
  <c r="A1" i="90"/>
  <c r="A1" i="176"/>
  <c r="F10" i="77"/>
  <c r="F9" i="77" s="1"/>
  <c r="C83" i="78"/>
  <c r="S12" i="81"/>
  <c r="S16" i="81"/>
  <c r="S13" i="81"/>
  <c r="A1" i="165"/>
  <c r="F23" i="80"/>
  <c r="F9" i="80"/>
  <c r="E11" i="75"/>
  <c r="E28" i="79"/>
  <c r="S11" i="81"/>
  <c r="G33" i="77"/>
  <c r="R15" i="81"/>
  <c r="H62" i="77"/>
  <c r="E45" i="79"/>
  <c r="D10" i="79"/>
  <c r="C23" i="77"/>
  <c r="C10" i="77" s="1"/>
  <c r="E46" i="79"/>
  <c r="G46" i="77"/>
  <c r="G62" i="77"/>
  <c r="G42" i="77"/>
  <c r="E10" i="77"/>
  <c r="I21" i="80"/>
  <c r="E17" i="75"/>
  <c r="E14" i="75"/>
  <c r="E12" i="75"/>
  <c r="E13" i="75"/>
  <c r="G29" i="77"/>
  <c r="F8" i="77" l="1"/>
  <c r="G10" i="77"/>
  <c r="C11" i="80"/>
  <c r="C10" i="80" s="1"/>
  <c r="C9" i="77"/>
  <c r="C8" i="77" s="1"/>
  <c r="P15" i="81"/>
  <c r="R12" i="81"/>
  <c r="E21" i="78"/>
  <c r="D24" i="75"/>
  <c r="D19" i="75" s="1"/>
  <c r="R13" i="81"/>
  <c r="G23" i="77"/>
  <c r="R21" i="81"/>
  <c r="H29" i="80"/>
  <c r="E9" i="91"/>
  <c r="F12" i="75"/>
  <c r="E10" i="75"/>
  <c r="P12" i="81"/>
  <c r="I10" i="81" l="1"/>
  <c r="I9" i="81" s="1"/>
  <c r="P21" i="81"/>
  <c r="D8" i="77"/>
  <c r="C10" i="79"/>
  <c r="E12" i="79"/>
  <c r="P13" i="81"/>
  <c r="H25" i="80"/>
  <c r="H24" i="80" s="1"/>
  <c r="P22" i="81"/>
  <c r="R19" i="81"/>
  <c r="R17" i="81"/>
  <c r="P18" i="81"/>
  <c r="D8" i="79"/>
  <c r="E24" i="75"/>
  <c r="P26" i="81"/>
  <c r="E9" i="75"/>
  <c r="P11" i="81"/>
  <c r="R16" i="81"/>
  <c r="R25" i="81"/>
  <c r="P20" i="81"/>
  <c r="R20" i="81"/>
  <c r="R26" i="81"/>
  <c r="R18" i="81"/>
  <c r="P25" i="81"/>
  <c r="R22" i="81"/>
  <c r="R11" i="81"/>
  <c r="P27" i="81"/>
  <c r="R27" i="81"/>
  <c r="P16" i="81"/>
  <c r="P17" i="81"/>
  <c r="E8" i="75"/>
  <c r="E26" i="80"/>
  <c r="K26" i="80" s="1"/>
  <c r="F31" i="80"/>
  <c r="E9" i="77"/>
  <c r="E8" i="77" s="1"/>
  <c r="P19" i="81"/>
  <c r="D31" i="78" l="1"/>
  <c r="I31" i="80"/>
  <c r="C26" i="80"/>
  <c r="I26" i="80" s="1"/>
  <c r="F29" i="80"/>
  <c r="E10" i="79"/>
  <c r="F10" i="79"/>
  <c r="S10" i="81"/>
  <c r="S9" i="81"/>
  <c r="F8" i="75"/>
  <c r="H8" i="77"/>
  <c r="F25" i="80" l="1"/>
  <c r="E31" i="78"/>
  <c r="D29" i="75"/>
  <c r="D29" i="78"/>
  <c r="E29" i="80"/>
  <c r="K29" i="80" s="1"/>
  <c r="G8" i="77"/>
  <c r="G9" i="77"/>
  <c r="D25" i="78" l="1"/>
  <c r="D27" i="75" s="1"/>
  <c r="C29" i="80"/>
  <c r="I29" i="80" s="1"/>
  <c r="E25" i="80"/>
  <c r="E24" i="80" s="1"/>
  <c r="C25" i="80" l="1"/>
  <c r="K25" i="80"/>
  <c r="C29" i="78"/>
  <c r="C25" i="78" s="1"/>
  <c r="C27" i="75" s="1"/>
  <c r="C26" i="75" l="1"/>
  <c r="C29" i="75"/>
  <c r="F29" i="75" s="1"/>
  <c r="E27" i="75"/>
  <c r="I25" i="80"/>
  <c r="E9" i="80"/>
  <c r="E8" i="80" s="1"/>
  <c r="C8" i="79" s="1"/>
  <c r="K24" i="80"/>
  <c r="E29" i="78"/>
  <c r="E28" i="75"/>
  <c r="E29" i="75"/>
  <c r="F27" i="75"/>
  <c r="E25" i="78" l="1"/>
  <c r="E8" i="79" l="1"/>
  <c r="F8" i="79"/>
  <c r="K18" i="80" l="1"/>
  <c r="K9" i="80" l="1"/>
  <c r="I11" i="80" l="1"/>
  <c r="E10" i="78" l="1"/>
  <c r="E9" i="78" l="1"/>
  <c r="F20" i="75" l="1"/>
  <c r="E20" i="75"/>
  <c r="I10" i="80"/>
  <c r="P8" i="83" l="1"/>
  <c r="N8" i="83"/>
  <c r="R10" i="81" l="1"/>
  <c r="R9" i="81"/>
  <c r="C9" i="80" l="1"/>
  <c r="C8" i="80" l="1"/>
  <c r="C19" i="75" l="1"/>
  <c r="C18" i="75" s="1"/>
  <c r="C8" i="78"/>
  <c r="D8" i="78" l="1"/>
  <c r="I18" i="80" l="1"/>
  <c r="E17" i="78" l="1"/>
  <c r="I9" i="80"/>
  <c r="E8" i="78"/>
  <c r="F19" i="75" l="1"/>
  <c r="E19" i="75"/>
  <c r="F21" i="75"/>
  <c r="E21" i="75"/>
  <c r="C16" i="91" l="1"/>
  <c r="C17" i="91"/>
  <c r="C15" i="91"/>
  <c r="D8" i="91"/>
  <c r="C19" i="91"/>
  <c r="C8" i="91" l="1"/>
  <c r="E8" i="91" s="1"/>
  <c r="P10" i="81" l="1"/>
  <c r="P9" i="81"/>
  <c r="C36" i="78" l="1"/>
  <c r="C35" i="80" l="1"/>
  <c r="C24" i="80" s="1"/>
  <c r="I37" i="80"/>
  <c r="H11" i="168"/>
  <c r="C24" i="78" l="1"/>
  <c r="C7" i="78" s="1"/>
  <c r="W26" i="122"/>
  <c r="W20" i="122" s="1"/>
  <c r="W19" i="122" s="1"/>
  <c r="W25" i="122" l="1"/>
  <c r="W14" i="122"/>
  <c r="W13" i="122" s="1"/>
  <c r="W12" i="122" s="1"/>
  <c r="H105" i="122"/>
  <c r="D107" i="122"/>
  <c r="C107" i="122" s="1"/>
  <c r="C105" i="122" l="1"/>
  <c r="D105" i="122"/>
  <c r="D104" i="122"/>
  <c r="W107" i="122"/>
  <c r="W104" i="122" s="1"/>
  <c r="W102" i="122" l="1"/>
  <c r="W86" i="122" s="1"/>
  <c r="W11" i="122" s="1"/>
  <c r="C104" i="122"/>
  <c r="D102" i="122"/>
  <c r="Z107" i="122"/>
  <c r="W105" i="122"/>
  <c r="D86" i="122"/>
  <c r="Z104" i="122" l="1"/>
  <c r="C102" i="122"/>
  <c r="D11" i="122"/>
  <c r="D10" i="122" s="1"/>
  <c r="Z105" i="122"/>
  <c r="AC90" i="122" l="1"/>
  <c r="AB89" i="122"/>
  <c r="AB87" i="122" s="1"/>
  <c r="Z102" i="122"/>
  <c r="C86" i="122"/>
  <c r="AB102" i="122" l="1"/>
  <c r="Z86" i="122"/>
  <c r="AB86" i="122" s="1"/>
  <c r="C11" i="122"/>
  <c r="Z11" i="122" l="1"/>
  <c r="AB12" i="122" s="1"/>
  <c r="C10" i="122"/>
  <c r="Z10" i="122" l="1"/>
  <c r="F70" i="80"/>
  <c r="H8" i="80"/>
  <c r="K8" i="80" l="1"/>
  <c r="S196" i="122" l="1"/>
  <c r="W196" i="122" l="1"/>
  <c r="W173" i="122" s="1"/>
  <c r="W160" i="122" l="1"/>
  <c r="W10" i="122" s="1"/>
  <c r="S160" i="122"/>
  <c r="D36" i="78"/>
  <c r="E36" i="78" l="1"/>
  <c r="D30" i="75"/>
  <c r="E38" i="78"/>
  <c r="S10" i="122"/>
  <c r="F35" i="80"/>
  <c r="F8" i="80"/>
  <c r="I35" i="80" l="1"/>
  <c r="F24" i="80"/>
  <c r="D26" i="75"/>
  <c r="D18" i="75" s="1"/>
  <c r="E30" i="75"/>
  <c r="E26" i="75" s="1"/>
  <c r="I8" i="80"/>
  <c r="D24" i="78"/>
  <c r="D7" i="78" s="1"/>
  <c r="I24" i="80"/>
  <c r="E7" i="78" l="1"/>
  <c r="E24" i="78"/>
  <c r="F26" i="75" l="1"/>
  <c r="F18" i="75" l="1"/>
  <c r="E18" i="75"/>
  <c r="E8" i="83"/>
  <c r="T9" i="83"/>
  <c r="T18" i="83" l="1"/>
  <c r="T8" i="83"/>
  <c r="T12" i="82"/>
  <c r="E9" i="82"/>
  <c r="D9" i="82"/>
  <c r="T9" i="82" l="1"/>
  <c r="D8" i="82"/>
  <c r="T8" i="82"/>
  <c r="Q9" i="81" l="1"/>
  <c r="Q10" i="81" l="1"/>
</calcChain>
</file>

<file path=xl/comments1.xml><?xml version="1.0" encoding="utf-8"?>
<comments xmlns="http://schemas.openxmlformats.org/spreadsheetml/2006/main">
  <authors>
    <author>Gia Phat</author>
  </authors>
  <commentList>
    <comment ref="D28" authorId="0">
      <text>
        <r>
          <rPr>
            <b/>
            <sz val="9"/>
            <color indexed="81"/>
            <rFont val="Tahoma"/>
            <family val="2"/>
          </rPr>
          <t>Gia Phat:</t>
        </r>
        <r>
          <rPr>
            <sz val="9"/>
            <color indexed="81"/>
            <rFont val="Tahoma"/>
            <family val="2"/>
          </rPr>
          <t xml:space="preserve">
Báo gồn KH giao đầu năm+CN kết dư, tiền đất</t>
        </r>
      </text>
    </comment>
  </commentList>
</comments>
</file>

<file path=xl/comments2.xml><?xml version="1.0" encoding="utf-8"?>
<comments xmlns="http://schemas.openxmlformats.org/spreadsheetml/2006/main">
  <authors>
    <author>Author</author>
  </authors>
  <commentList>
    <comment ref="B16"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4, 5, 6 dự án chuyển tiếp đã QT, bố trí vốn thanh toán theo giá trị QT</t>
        </r>
      </text>
    </comment>
    <comment ref="B39" authorId="0">
      <text>
        <r>
          <rPr>
            <b/>
            <sz val="9"/>
            <color indexed="81"/>
            <rFont val="Tahoma"/>
            <family val="2"/>
          </rPr>
          <t>Tổng công ty Vietel chưa hoàn thiện để thanh toán kho bạc; dự kiên chuyển nguồn</t>
        </r>
      </text>
    </comment>
  </commentList>
</comments>
</file>

<file path=xl/comments3.xml><?xml version="1.0" encoding="utf-8"?>
<comments xmlns="http://schemas.openxmlformats.org/spreadsheetml/2006/main">
  <authors>
    <author>GP</author>
  </authors>
  <commentList>
    <comment ref="C5" authorId="0">
      <text>
        <r>
          <rPr>
            <sz val="9"/>
            <color indexed="81"/>
            <rFont val="Tahoma"/>
            <family val="2"/>
          </rPr>
          <t xml:space="preserve">Các đơn vị không thay đổi số dư đầu kỳ
</t>
        </r>
      </text>
    </comment>
  </commentList>
</comments>
</file>

<file path=xl/comments4.xml><?xml version="1.0" encoding="utf-8"?>
<comments xmlns="http://schemas.openxmlformats.org/spreadsheetml/2006/main">
  <authors>
    <author>giaphat</author>
    <author>GP</author>
    <author>Gia Phat</author>
  </authors>
  <commentList>
    <comment ref="A10" authorId="0">
      <text>
        <r>
          <rPr>
            <b/>
            <sz val="9"/>
            <color indexed="81"/>
            <rFont val="Tahoma"/>
            <family val="2"/>
          </rPr>
          <t>giaphat:</t>
        </r>
        <r>
          <rPr>
            <sz val="9"/>
            <color indexed="81"/>
            <rFont val="Tahoma"/>
            <family val="2"/>
          </rPr>
          <t xml:space="preserve">
</t>
        </r>
      </text>
    </comment>
    <comment ref="L165" authorId="1">
      <text>
        <r>
          <rPr>
            <b/>
            <sz val="9"/>
            <color indexed="81"/>
            <rFont val="Tahoma"/>
            <family val="2"/>
          </rPr>
          <t>GP:</t>
        </r>
        <r>
          <rPr>
            <sz val="9"/>
            <color indexed="81"/>
            <rFont val="Tahoma"/>
            <family val="2"/>
          </rPr>
          <t xml:space="preserve">
Chuyển 7,1677trđ theo dõi tại tck 2022</t>
        </r>
      </text>
    </comment>
    <comment ref="T166" authorId="2">
      <text>
        <r>
          <rPr>
            <b/>
            <sz val="9"/>
            <color indexed="81"/>
            <rFont val="Tahoma"/>
            <family val="2"/>
          </rPr>
          <t xml:space="preserve">Gia Phat:
VĐT: 5,109,608,000
Ttrả nợ cấp giấy : 380,000,000
</t>
        </r>
      </text>
    </comment>
    <comment ref="U168" authorId="1">
      <text>
        <r>
          <rPr>
            <b/>
            <sz val="9"/>
            <color indexed="81"/>
            <rFont val="Tahoma"/>
            <family val="2"/>
          </rPr>
          <t>GP:</t>
        </r>
        <r>
          <rPr>
            <sz val="9"/>
            <color indexed="81"/>
            <rFont val="Tahoma"/>
            <family val="2"/>
          </rPr>
          <t xml:space="preserve">
QT: 942.443.800đ, Nộp trả NS huyện 56.336.000đ</t>
        </r>
      </text>
    </comment>
    <comment ref="O179" authorId="1">
      <text>
        <r>
          <rPr>
            <b/>
            <sz val="9"/>
            <color indexed="81"/>
            <rFont val="Tahoma"/>
            <family val="2"/>
          </rPr>
          <t>GP:</t>
        </r>
        <r>
          <rPr>
            <sz val="9"/>
            <color indexed="81"/>
            <rFont val="Tahoma"/>
            <family val="2"/>
          </rPr>
          <t xml:space="preserve">
Mượn nguồn CCTL</t>
        </r>
      </text>
    </comment>
    <comment ref="T179" authorId="0">
      <text>
        <r>
          <rPr>
            <b/>
            <sz val="9"/>
            <color indexed="81"/>
            <rFont val="Tahoma"/>
            <family val="2"/>
          </rPr>
          <t>giaphat:</t>
        </r>
        <r>
          <rPr>
            <sz val="9"/>
            <color indexed="81"/>
            <rFont val="Tahoma"/>
            <family val="2"/>
          </rPr>
          <t xml:space="preserve">
Chi nguồn đảm bảo theo dân số: 5.129.650đ</t>
        </r>
      </text>
    </comment>
  </commentList>
</comments>
</file>

<file path=xl/sharedStrings.xml><?xml version="1.0" encoding="utf-8"?>
<sst xmlns="http://schemas.openxmlformats.org/spreadsheetml/2006/main" count="2668" uniqueCount="1393">
  <si>
    <t>Phí và lệ phí trung ương</t>
  </si>
  <si>
    <t>Phí và lệ phí tỉnh</t>
  </si>
  <si>
    <t>Phí và lệ phí huyện</t>
  </si>
  <si>
    <t>Phí và lệ phí xã, phường</t>
  </si>
  <si>
    <t>Tiền cho thuê đất, thuê mặt nước</t>
  </si>
  <si>
    <t>Tiền cho thuê và tiền bán nhà ở thuộc sở hữu nhà nước</t>
  </si>
  <si>
    <t>Thu từ quỹ đất công ích, hoa lợi công sản khác</t>
  </si>
  <si>
    <t xml:space="preserve">Thu từ hoạt động xuất nhập khẩu </t>
  </si>
  <si>
    <t>Thuế tiêu thụ đặc biệt thu từ hàng hóa nhập khẩu</t>
  </si>
  <si>
    <t>Thuế bảo vệ môi trường thu từ hàng hóa nhập khẩu</t>
  </si>
  <si>
    <t>Thuế giá trị gia tăng thu từ hàng hóa nhập khẩu</t>
  </si>
  <si>
    <t>THU KẾT DƯ NĂM TRƯỚC</t>
  </si>
  <si>
    <t>THU CHUYỂN NGUỒN TỪ NĂM TRƯỚC CHUYỂN SANG</t>
  </si>
  <si>
    <t>Nộp trả ngân sách cấp tỉnh</t>
  </si>
  <si>
    <t>Dùng cho Bộ Tài chính báo cáo Chính phủ, các cơ quan liên quan</t>
  </si>
  <si>
    <t>Mẫu biểu số 51:</t>
  </si>
  <si>
    <t>Ước thực hiện thu NSNN tháng... năm....</t>
  </si>
  <si>
    <t>Mẫu biểu số 52:</t>
  </si>
  <si>
    <t>Ước thực hiện chi NSNN tháng... năm....</t>
  </si>
  <si>
    <t>Mẫu biểu số 53:</t>
  </si>
  <si>
    <t>Dùng cho cơ quan thuế, hải quan báo cáo cơ quan tài chính cùng cấp và cơ quan liên quan</t>
  </si>
  <si>
    <t>Mẫu biểu số 54:</t>
  </si>
  <si>
    <t>Thực hiện dự toán thu, chi NSNN quý... năm....</t>
  </si>
  <si>
    <t>Dùng cho đơn vị dự toán cấp I thuộc ngân sách trung ương báo cáo Bộ Tài chính</t>
  </si>
  <si>
    <t>Mẫu biểu số 55:</t>
  </si>
  <si>
    <t>Tình hình cân đối NSĐP tháng... năm....</t>
  </si>
  <si>
    <t>Dùng cho Ủy ban nhân dân tỉnh, thành phố trực thuộc trung ương báo cáo Bộ Tài chính</t>
  </si>
  <si>
    <t>Mẫu biểu số 56:</t>
  </si>
  <si>
    <t>Mẫu biểu số 57:</t>
  </si>
  <si>
    <t>Ước thực hiện chi NSĐP tháng... năm....</t>
  </si>
  <si>
    <t>Phần thứ bảy</t>
  </si>
  <si>
    <t>Mẫu biểu báo cáo quyết toán ngân sách nhà nước</t>
  </si>
  <si>
    <t>Mẫu biểu số 58:</t>
  </si>
  <si>
    <t>Số dư tài khoản tiền gửi kinh phí ngân sách cấp của đơn vị dự toán được chuyển nguồn sang năm sau của các đơn vị thuộc ngân sách các cấp năm...chuyển sang năm....</t>
  </si>
  <si>
    <t>Chi đầu tư phát triển (Không kể chương trình MTQG)</t>
  </si>
  <si>
    <t>Chi thường xuyên (Không kể chương trình MTQG)</t>
  </si>
  <si>
    <t>16= 7/1</t>
  </si>
  <si>
    <t>17= 8/2</t>
  </si>
  <si>
    <t>Cân đối NSĐP năm... (dùng cho năm đầu thời kỳ ổn định ngân sách)</t>
  </si>
  <si>
    <t>Mẫu biểu số 29.2:</t>
  </si>
  <si>
    <t>Thuyết minh tăng, giảm chi quản lý hành chính, Đảng, đoàn thể năm....</t>
  </si>
  <si>
    <t>Mẫu biểu số 67:</t>
  </si>
  <si>
    <t>Thuyết minh chi khắc phục hậu quả thiên tai năm....</t>
  </si>
  <si>
    <t>Mẫu biểu số 68:</t>
  </si>
  <si>
    <t>Thuyết minh tình hình sử dụng nguồn dự phòng, tăng thu và thưởng vượt dự toán thu ngân sách năm....</t>
  </si>
  <si>
    <t>Mẫu biểu số 69:</t>
  </si>
  <si>
    <t>Báo cáo tình hình kiểm toán, thanh tra năm....</t>
  </si>
  <si>
    <t>Mẫu biểu số 70:</t>
  </si>
  <si>
    <t>Bổ sung có mục tiêu</t>
  </si>
  <si>
    <t>Chia theo nguồn vốn</t>
  </si>
  <si>
    <t>2.4</t>
  </si>
  <si>
    <t>2.5</t>
  </si>
  <si>
    <t>2.6</t>
  </si>
  <si>
    <t>2.7</t>
  </si>
  <si>
    <t>2.8</t>
  </si>
  <si>
    <t>2.9</t>
  </si>
  <si>
    <t>Dùng cho các đơn vị dự toán ngân sách thuộc ngân sách các cấp báo cáo cơ quan kho bạc nhà nước</t>
  </si>
  <si>
    <t>Mẫu biểu số 59:</t>
  </si>
  <si>
    <t>Nguồn năm trước chuyển sang (nếu có)</t>
  </si>
  <si>
    <t>7=1-6</t>
  </si>
  <si>
    <t>Số tiền</t>
  </si>
  <si>
    <t>Vốn đầu tư</t>
  </si>
  <si>
    <t xml:space="preserve"> -</t>
  </si>
  <si>
    <t>Thuế tài nguyên</t>
  </si>
  <si>
    <t>III</t>
  </si>
  <si>
    <t>IV</t>
  </si>
  <si>
    <t>Thuế sử dụng đất phi nông nghiệp</t>
  </si>
  <si>
    <t>Thuế sử dụng đất nông nghiệp</t>
  </si>
  <si>
    <t>Thu tiền sử dụng đất</t>
  </si>
  <si>
    <t>V</t>
  </si>
  <si>
    <t>Thu khác</t>
  </si>
  <si>
    <t>Đơn vị: triệu đồng</t>
  </si>
  <si>
    <t>Thuế nhập khẩu</t>
  </si>
  <si>
    <t>-</t>
  </si>
  <si>
    <t xml:space="preserve">Chi đầu tư phát triển </t>
  </si>
  <si>
    <t>Chi đầu tư phát triển khác</t>
  </si>
  <si>
    <t>Chi bảo đảm xã hội</t>
  </si>
  <si>
    <t>Chi đầu tư phát triển</t>
  </si>
  <si>
    <t xml:space="preserve"> </t>
  </si>
  <si>
    <t>(1) Dự toán chi ngân sách địa phương chi tiết theo các chỉ tiêu tương ứng phần quyết toán chi ngân sách địa phương.</t>
  </si>
  <si>
    <t>Chi giao thông</t>
  </si>
  <si>
    <t>Chi bổ sung quỹ dự trữ tài chính</t>
  </si>
  <si>
    <t>Thuyết minh phân bổ chi sự nghiệp khoa học và công nghệ</t>
  </si>
  <si>
    <r>
      <t xml:space="preserve">Mẫu biểu số 40 </t>
    </r>
    <r>
      <rPr>
        <i/>
        <sz val="12"/>
        <color indexed="8"/>
        <rFont val="Times New Roman"/>
        <family val="1"/>
      </rPr>
      <t>(gồm mẫu biểu số 40.1 và 40.2):</t>
    </r>
  </si>
  <si>
    <t>Thuyết minh phân bổ chi sự nghiệp y tế</t>
  </si>
  <si>
    <t>Mẫu biểu số 41:</t>
  </si>
  <si>
    <t>Biểu 01 TC</t>
  </si>
  <si>
    <t>Dùng cho Ủy ban nhân dân tỉnh, thành phố trực thuộc Trung ương báo cáo Bộ Tài chính</t>
  </si>
  <si>
    <t>Mẫu biểu số 29.1:</t>
  </si>
  <si>
    <t>Biểu số 5.22</t>
  </si>
  <si>
    <t>Dùng cho:
- Các bộ, cơ quan trung ương và UBND các địa phương báo cáo cơ quan quản lý chương trình mục tiêu quốc gia, chương trình mục tiêu
- Cơ quan quản lý chương trình mục tiêu quốc gia, chương trình mục tiêu báo cáo Bộ Tài chính, Bộ Kế hoạch và Đầu tư</t>
  </si>
  <si>
    <t>Dùng cho:
- Đơn vị sử dụng ngân sách báo cáo cơ quan quản lý cấp trên
- Đơn vị dự toán cấp I báo cáo cơ quan tài chính cùng cấp</t>
  </si>
  <si>
    <t>Dùng cho:
- Đơn vị sự nghiệp công tự bảo đảm chi thường xuyên và chi đầu tư báo cáo cơ quan quản lý cấp trên
- Đơn vị dự toán cấp I báo cáo cơ quan tài chính cùng cấp</t>
  </si>
  <si>
    <t>Địa điểm xây dựng</t>
  </si>
  <si>
    <t xml:space="preserve">Hỗ trợ người có uy tín trong đồng bào dân tộc thiểu số </t>
  </si>
  <si>
    <t>Đơn vị tính: Đồng</t>
  </si>
  <si>
    <t xml:space="preserve"> Thuế tài nguyên</t>
  </si>
  <si>
    <t xml:space="preserve"> Thu khác</t>
  </si>
  <si>
    <t xml:space="preserve"> Thuế môn bài</t>
  </si>
  <si>
    <t xml:space="preserve"> Thuế thu nhập doanh nghiệp</t>
  </si>
  <si>
    <t xml:space="preserve"> Thuế giá trị gia tăng</t>
  </si>
  <si>
    <t xml:space="preserve">  Thuế môn bài</t>
  </si>
  <si>
    <t xml:space="preserve">  Thuế giá trị gia tăng</t>
  </si>
  <si>
    <t>CHI BỔ SUNG CÓ MỤC TIÊU CHO NGÂN SÁCH CẤP DƯỚI (2)</t>
  </si>
  <si>
    <t>17= 2/1</t>
  </si>
  <si>
    <t>Dự toán thu, chi ngân sách nhà nước năm...</t>
  </si>
  <si>
    <t>Mẫu biểu số 06:</t>
  </si>
  <si>
    <t>Dự toán thu, chi ngân sách nhà nước năm... chi tiết theo đơn vị trực thuộc</t>
  </si>
  <si>
    <t>Tổng hợp dự toán thu, chi từ nguồn vay nợ nước ngoài và vốn đối ứng năm...</t>
  </si>
  <si>
    <t>Mẫu biểu số 09:</t>
  </si>
  <si>
    <t>Tổng hợp dự toán thu, chi từ nguồn viện trợ và vốn đối ứng năm...</t>
  </si>
  <si>
    <t>Mẫu biểu số 10:</t>
  </si>
  <si>
    <t>Dự toán chi bằng ngoại tệ năm...</t>
  </si>
  <si>
    <t>CÁC CƠ QUAN ĐƠN VỊ</t>
  </si>
  <si>
    <t>Kế hoạch tài chính của các quỹ tài chính nhà nước ngoài ngân sách năm...</t>
  </si>
  <si>
    <t xml:space="preserve"> +</t>
  </si>
  <si>
    <t>Vốn sự nghiệp</t>
  </si>
  <si>
    <t>*</t>
  </si>
  <si>
    <t>TỔNG THU CÂN ĐỐI NSNN</t>
  </si>
  <si>
    <t>Mẫu biểu lập dự toán thu, chi ngân sách nhà nước</t>
  </si>
  <si>
    <t>Mẫu biểu số 05:</t>
  </si>
  <si>
    <t>Tổng nguồn vốn phát sinh trong năm</t>
  </si>
  <si>
    <t>Tổng sử dụng nguồn vốn trong năm</t>
  </si>
  <si>
    <t>Thu từ khu vực kinh tế ngoài quốc doanh</t>
  </si>
  <si>
    <t>Thuế thu nhập cá nhân</t>
  </si>
  <si>
    <t>Thuế bảo vệ môi trường</t>
  </si>
  <si>
    <t>Lệ phí trước bạ</t>
  </si>
  <si>
    <t>Thu từ hoạt động xổ số kiến thiết</t>
  </si>
  <si>
    <t>Thu khác ngân sách</t>
  </si>
  <si>
    <t>Thu tiền cấp quyền khai thác khoáng sản</t>
  </si>
  <si>
    <t>Chi nông nghiệp, lâm nghiệp, thủy lợi, thủy sản</t>
  </si>
  <si>
    <t>18=2/1</t>
  </si>
  <si>
    <t>Dự toán được cấp</t>
  </si>
  <si>
    <t>E</t>
  </si>
  <si>
    <t>Chi thường xuyên (Không kể chương trình MTQG</t>
  </si>
  <si>
    <t>Quyết toán thu NSNN, vay NSĐP theo mục lục ngân sách nhà nước năm...</t>
  </si>
  <si>
    <t>Dùng cho cơ quan tài chính cấp dưới báo cáo cơ quan tài chính cấp trên trực tiếp</t>
  </si>
  <si>
    <t>Mẫu biểu số 64:</t>
  </si>
  <si>
    <t>Dự toán thu, chi, nộp ngân sách nhà nước từ các khoản phí và lệ phí năm...</t>
  </si>
  <si>
    <t>Mẫu biểu số 08:</t>
  </si>
  <si>
    <t>Mẫu biểu số 17:</t>
  </si>
  <si>
    <t>Dự toán chi cấp bù chênh lệch lãi suất và phí quản lý năm...</t>
  </si>
  <si>
    <t>Dùng cho đơn vị được giao nhiệm vụ huy động vốn để cho vay ưu đãi theo quy định của Chính phủ, quyết định của Thủ tướng Chính phủ để báo cáo Bộ Tài chính, Bộ Kế hoạch và Đầu tư</t>
  </si>
  <si>
    <t>Mẫu biểu số 18:</t>
  </si>
  <si>
    <t xml:space="preserve">DANH MỤC MẪU BIỂU KÈM THEO THÔNG TƯ SỐ 342/2016/TT-BTC
NGÀY 30/12/2016 CỦA BỘ TÀI CHÍNH </t>
  </si>
  <si>
    <t>Nội dung (1)</t>
  </si>
  <si>
    <t>Quyết toán</t>
  </si>
  <si>
    <t>So sánh</t>
  </si>
  <si>
    <t>Tuyệt đối</t>
  </si>
  <si>
    <t>II</t>
  </si>
  <si>
    <t>Thu từ dầu thô</t>
  </si>
  <si>
    <t>(Ký tên, đóng dấu)</t>
  </si>
  <si>
    <t>Tổng số</t>
  </si>
  <si>
    <t>Bao gồm</t>
  </si>
  <si>
    <t>5.2</t>
  </si>
  <si>
    <r>
      <t xml:space="preserve">Mẫu biểu số 39 </t>
    </r>
    <r>
      <rPr>
        <i/>
        <sz val="12"/>
        <color indexed="8"/>
        <rFont val="Times New Roman"/>
        <family val="1"/>
      </rPr>
      <t>(gồm mẫu biểu số 39.1 và 39.2):</t>
    </r>
  </si>
  <si>
    <t>Thuyết minh phân bổ chi sự nghiệp phát thanh, truyền hình, thông tấn</t>
  </si>
  <si>
    <t>Mẫu biểu số 43:</t>
  </si>
  <si>
    <t>Thuyết minh phân bổ chi sự nghiệp thể dục thể thao</t>
  </si>
  <si>
    <t>Dùng cho:
- Đơn vị sử dụng ngân sách báo cáo đơn vị dự toán cấp trên
- Đơn vị dự toán cấp I báo cáo cơ quan tài chính và cơ quan kế hoạch và đầu tư cùng cấp
- UBND cấp tỉnh báo cáo Bộ Tài chính, Bộ Kế hoạch và Đầu tư</t>
  </si>
  <si>
    <t>Dùng cho:
- Đơn vị dự toán cấp trên tổng hợp dự toán của các đơn vị sử dụng ngân sách
- Đơn vị dự toán cấp I báo cáo cơ quan tài chính, cơ quan kế hoạch và đầu tư cùng cấp</t>
  </si>
  <si>
    <t>Dùng cho:
- Đơn vị sử dụng ngân sách báo cáo đơn vị dự toán cấp trên
- Đơn vị dự toán cấp I báo cáo cơ quan tài chính, cơ quan kế hoạch và đầu tư cùng cấp
- UBND cấp tỉnh báo cáo Bộ Tài chính, Bộ Kế hoạch và Đầu tư</t>
  </si>
  <si>
    <t>Dùng cho các bộ, cơ quan trung ương và các cơ quan, đơn vị ở địa phương báo cáo cơ quan tài chính cùng cấp</t>
  </si>
  <si>
    <t>Phần thứ ba</t>
  </si>
  <si>
    <t>Mẫu biểu lập dự toán thu, chi của hệ thống bảo hiểm xã hội Việt Nam</t>
  </si>
  <si>
    <t>Mẫu biểu số 19:</t>
  </si>
  <si>
    <t>Phòng Văn hoá và Thông tin</t>
  </si>
  <si>
    <t>So sánh (%)</t>
  </si>
  <si>
    <t>Nguồn thu ngân sách</t>
  </si>
  <si>
    <t>Thu ngân sách được hưởng theo phân cấp</t>
  </si>
  <si>
    <t>Bổ sung cân đối ngân sách</t>
  </si>
  <si>
    <t>Chi ngân sách</t>
  </si>
  <si>
    <t>Chi bổ sung cho ngân sách cấp dưới</t>
  </si>
  <si>
    <t>Chi bổ sung cân đối ngân sách</t>
  </si>
  <si>
    <t>Dự toán chi đầu tư từ nguồn vốn ODA và vốn vay ưu đãi theo phương thức cấp phát từ NSTW (không bao gồm vốn nước ngoài giải ngân theo cơ chế tài chính trong nước) năm...</t>
  </si>
  <si>
    <t>Mẫu biểu số 25:</t>
  </si>
  <si>
    <t>Dự toán chi đầu tư từ nguồn vốn ODA và vốn vay ưu đãi theo phương thức cấp phát (giải ngân theo cơ chế tài chính trong nước) năm....</t>
  </si>
  <si>
    <t>Mẫu biểu số 26:</t>
  </si>
  <si>
    <t>Dự toán chi đầu tư từ nguồn vốn NSTW bổ sung có mục tiêu cho NSĐP (vốn trong nước) năm....</t>
  </si>
  <si>
    <t>Mẫu biểu số 27:</t>
  </si>
  <si>
    <t>Tổng hợp dự toán chi đầu tư phát triển năm ...</t>
  </si>
  <si>
    <t>Thuế xuất khẩu</t>
  </si>
  <si>
    <t>CHI CÂN ĐỐI NGÂN SÁCH ĐỊA PHƯƠNG</t>
  </si>
  <si>
    <t>Thuế BVMT thu từ hàng hóa nhập khẩu</t>
  </si>
  <si>
    <t xml:space="preserve">Thu phí, lệ phí </t>
  </si>
  <si>
    <t>Cơ sở tính chi sự nghiệp bảo vệ môi trường năm...</t>
  </si>
  <si>
    <t>Mẫu biểu số 13.8:</t>
  </si>
  <si>
    <t>Cơ sở tính chi các hoạt động kinh tế năm...</t>
  </si>
  <si>
    <t>Mẫu biểu số 13.9:</t>
  </si>
  <si>
    <t>Chi tiết chi các hoạt động kinh tế theo chương trình/dự án năm...</t>
  </si>
  <si>
    <t>Mẫu biểu số 13.10:</t>
  </si>
  <si>
    <t>Thuế BVMT thu từ hàng hóa sản xuất, kinh doanh trong nước</t>
  </si>
  <si>
    <t>Cấp huyện</t>
  </si>
  <si>
    <t>Cấp xã</t>
  </si>
  <si>
    <t>NGÂN SÁCH XÃ</t>
  </si>
  <si>
    <t>Ngân sách cấp huyện</t>
  </si>
  <si>
    <t>Ngân sách xã</t>
  </si>
  <si>
    <t>Ngân sách cấp xã</t>
  </si>
  <si>
    <t>Tương đối (%)</t>
  </si>
  <si>
    <t>4=2/1</t>
  </si>
  <si>
    <t>TỔNG NGUỒN THU NSĐP</t>
  </si>
  <si>
    <t>Thu NSĐP hưởng 100%</t>
  </si>
  <si>
    <t>Ban Quản lý đầu tư xây dựng</t>
  </si>
  <si>
    <t>Mẫu biểu số 60:</t>
  </si>
  <si>
    <t>Cân đối quyết toán ngân sách địa phương năm....</t>
  </si>
  <si>
    <t>Dùng cho Ủy ban nhân dân cấp dưới báo cáo cơ quan tài chính cấp trên trực tiếp</t>
  </si>
  <si>
    <t>Mẫu biểu số 61:</t>
  </si>
  <si>
    <t>Thu chuyển giao ngân sách</t>
  </si>
  <si>
    <t>Báo cáo lao động - tiền lương - nguồn kinh phí đảm bảo của các đơn vị sự nghiệp năm...</t>
  </si>
  <si>
    <t>Chuyển nguồn</t>
  </si>
  <si>
    <t>Mẫu biểu số 07:</t>
  </si>
  <si>
    <t>Dùng cho các Sở và cơ quan cấp tỉnh; Phòng và các cơ quan cấp huyện, báo cáo cơ quan tài chính cùng cấp, kho bạc nhà nước (kèm theo mẫu B, C phụ lục 2)</t>
  </si>
  <si>
    <t>Mẫu biểu số 49:</t>
  </si>
  <si>
    <t>Mẫu biểu cáo cáo chấp hành ngân sách nhà nước</t>
  </si>
  <si>
    <t>Mẫu biểu số 50:</t>
  </si>
  <si>
    <t>Tình hình cân đối NSNN tháng... năm....</t>
  </si>
  <si>
    <t>Đơn vị tính: Triệu đồng</t>
  </si>
  <si>
    <t>3=2-1</t>
  </si>
  <si>
    <t>20=12/3</t>
  </si>
  <si>
    <t>Biểu số 5.20</t>
  </si>
  <si>
    <t>Biểu số 5.21</t>
  </si>
  <si>
    <t>Biểu số 5.25</t>
  </si>
  <si>
    <t>Biểu số 5.27</t>
  </si>
  <si>
    <t>Biểu số 5.28</t>
  </si>
  <si>
    <t>Biểu số 5.30</t>
  </si>
  <si>
    <t>Biểu số 5.31</t>
  </si>
  <si>
    <r>
      <t xml:space="preserve">Mẫu biểu số 47 </t>
    </r>
    <r>
      <rPr>
        <i/>
        <sz val="12"/>
        <color indexed="8"/>
        <rFont val="Times New Roman"/>
        <family val="1"/>
      </rPr>
      <t>(gồm mẫu biểu số 47.1; 47.2 và 47.3)</t>
    </r>
  </si>
  <si>
    <t>Thuyết minh phân bổ chi đảm bảo xã hội</t>
  </si>
  <si>
    <t>Mẫu biểu số 48:</t>
  </si>
  <si>
    <t>Dự toán bổ sung mục tiêu đầu năm</t>
  </si>
  <si>
    <t>Bổ sung mục tiêu trong năm</t>
  </si>
  <si>
    <t>Chuyển nguồn sang ngân sách năm sau</t>
  </si>
  <si>
    <t xml:space="preserve"> Chương trình mục tiêu quốc gia</t>
  </si>
  <si>
    <t xml:space="preserve"> TM. ỦY BAN NHÂN DÂN </t>
  </si>
  <si>
    <t>CHỦ TỊCH</t>
  </si>
  <si>
    <t>Tên Quỹ</t>
  </si>
  <si>
    <t>3=2/1</t>
  </si>
  <si>
    <t xml:space="preserve">Chi đầu tư cho các dự án </t>
  </si>
  <si>
    <t>CHI CÁC CHƯƠNG TRÌNH MỤC TIÊU</t>
  </si>
  <si>
    <t>Chi giáo dục - đào tạo và dạy nghề</t>
  </si>
  <si>
    <t>Gồm</t>
  </si>
  <si>
    <t>1=2+3</t>
  </si>
  <si>
    <t>4=5+6</t>
  </si>
  <si>
    <t>1.2</t>
  </si>
  <si>
    <t>2.1</t>
  </si>
  <si>
    <t>2.2</t>
  </si>
  <si>
    <t>C</t>
  </si>
  <si>
    <t>Mẫu biểu số 12.2</t>
  </si>
  <si>
    <t>Trong đó</t>
  </si>
  <si>
    <t>11=12+13</t>
  </si>
  <si>
    <t>Trong đó:</t>
  </si>
  <si>
    <t>VI</t>
  </si>
  <si>
    <t>2.3</t>
  </si>
  <si>
    <t>Tên đơn vị</t>
  </si>
  <si>
    <t>Chênh lệch nguồn trong năm</t>
  </si>
  <si>
    <t>Ghi chú</t>
  </si>
  <si>
    <t>Vốn trong nước</t>
  </si>
  <si>
    <t>Thu bổ sung từ ngân sách cấp trên</t>
  </si>
  <si>
    <t>PHÒNG TÀI CHÍNH - KẾ HOẠCH NA RÌ</t>
  </si>
  <si>
    <t>Ban quản lý đầu tư XD huyện Na Rì</t>
  </si>
  <si>
    <t>Nguồn cân đối huyện điều hành</t>
  </si>
  <si>
    <t xml:space="preserve"> - </t>
  </si>
  <si>
    <t>Sự nghiệp văn hóa thông tin</t>
  </si>
  <si>
    <t>Sự nghiệp thể dục thể thao</t>
  </si>
  <si>
    <t>5.1</t>
  </si>
  <si>
    <t>Thuyết minh phân bổ chi sự nghiệp văn hóa thông tin</t>
  </si>
  <si>
    <t>Mẫu biểu số 42:</t>
  </si>
  <si>
    <t>Biểu tổng hợp dự toán thu NSNN năm...</t>
  </si>
  <si>
    <t>Mẫu biểu số 32:</t>
  </si>
  <si>
    <t>Biểu tổng hợp dự toán chi NSĐP năm....</t>
  </si>
  <si>
    <t>Mẫu biểu số 33:</t>
  </si>
  <si>
    <t>Tình hình thực hiện các dự án đầu tư sử dụng vốn NSTW bổ sung có mục tiêu cho NSĐP (vốn trong nước) năm... và dự kiến kế hoạch năm...</t>
  </si>
  <si>
    <t>Mẫu biểu số 34:</t>
  </si>
  <si>
    <t>Tình hình thực hiện các dự án đầu tư từ vốn ODA và vốn vay ưu đãi kế hoạch năm... và dự kiến kế hoạch năm....</t>
  </si>
  <si>
    <t>Mẫu biểu số 35:</t>
  </si>
  <si>
    <t>Dự toán thu từ hoạt động cung cấp dịch vụ của đơn vị sự nghiệp công lập năm...</t>
  </si>
  <si>
    <t>Phần thứ sáu</t>
  </si>
  <si>
    <t>Mẫu biểu phân bổ, thuyết minh phân bổ và chấp hành ngân sách nhà nước</t>
  </si>
  <si>
    <t>Mẫu biểu phân bổ, thuyết minh phân bổ</t>
  </si>
  <si>
    <t>Mẫu biểu số 36:</t>
  </si>
  <si>
    <t>Dùng cho:
- Đơn vị sự nghiệp công tự bảo đảm chi thường xuyên báo cáo cơ quan quản lý cấp trên
- Đơn vị dự toán cấp I báo cáo cơ quan tài chính cùng cấp</t>
  </si>
  <si>
    <t>Hỗ trợ trẻ ăn trưa 3, 4, 5 tuổi</t>
  </si>
  <si>
    <t>Hoàn trả ngân sách cấp tỉnh</t>
  </si>
  <si>
    <t>Ngân sách địa phương</t>
  </si>
  <si>
    <t>7=4/1</t>
  </si>
  <si>
    <t>8=5/2</t>
  </si>
  <si>
    <t>9=6/3</t>
  </si>
  <si>
    <t>Chi chương trình MTQG</t>
  </si>
  <si>
    <t>Chi chuyển nguồn sang ngân sách năm sau</t>
  </si>
  <si>
    <t>CHI DỰ PHÒNG NGÂN SÁCH</t>
  </si>
  <si>
    <t>CHI TẠO NGUỒN, ĐIỀU CHỈNH TIỀN LƯƠNG</t>
  </si>
  <si>
    <t>2</t>
  </si>
  <si>
    <t>7</t>
  </si>
  <si>
    <t>Chi đầu tư và hỗ trợ vốn cho các doanh nghiệp cung cấp sản phẩm, dịch vụ công ích do Nhà nước đặt hàng, các tổ chức kinh tế, các tổ chức tài chính của địa phương theo quy định của pháp luật</t>
  </si>
  <si>
    <t>Chi khoa học và công nghệ</t>
  </si>
  <si>
    <t>Chi quốc phòng</t>
  </si>
  <si>
    <t xml:space="preserve">Dự toán </t>
  </si>
  <si>
    <t>Mẫu biểu số 16:</t>
  </si>
  <si>
    <t>Cơ sở tính chi mua bổ sung hàng dự trữ quốc gia năm...</t>
  </si>
  <si>
    <t>Biểu số 5.23</t>
  </si>
  <si>
    <t>Dùng cho đơn vị dự toán cấp I báo cáo cơ quan tài chính và cơ quan kế hoạch và đầu tư cùng cấp</t>
  </si>
  <si>
    <t>Phần thứ năm</t>
  </si>
  <si>
    <t>Mẫu biểu lập dự toán ngân sách địa phương</t>
  </si>
  <si>
    <t>Mẫu biểu số 28:</t>
  </si>
  <si>
    <t>Một số chỉ tiêu kinh tế - xã hội cơ bản năm...</t>
  </si>
  <si>
    <t>Tổng cộng</t>
  </si>
  <si>
    <t>Côn Minh</t>
  </si>
  <si>
    <t>Dương Sơn</t>
  </si>
  <si>
    <t>Kim Hỷ</t>
  </si>
  <si>
    <t>Cư Lễ</t>
  </si>
  <si>
    <t>Cường Lợi</t>
  </si>
  <si>
    <t>Quang Phong</t>
  </si>
  <si>
    <t>Đơn vị: Triệu đồng</t>
  </si>
  <si>
    <t>STT</t>
  </si>
  <si>
    <t>Nội dung</t>
  </si>
  <si>
    <t>Dự toán</t>
  </si>
  <si>
    <t>A</t>
  </si>
  <si>
    <t>B</t>
  </si>
  <si>
    <t>I</t>
  </si>
  <si>
    <t>Thu nội địa</t>
  </si>
  <si>
    <t>1.1</t>
  </si>
  <si>
    <t>Cơ sở tính chi thực hiện chính sách đối với các đối tượng thuộc lĩnh vực bảo đảm xã hội năm...</t>
  </si>
  <si>
    <t>Mẫu biểu số 13.11:</t>
  </si>
  <si>
    <t>Cơ sở tính chi thực hiện chính sách ưu đãi người có công với cách mạng năm...</t>
  </si>
  <si>
    <t>Mẫu biểu số 13.12:</t>
  </si>
  <si>
    <t>Cơ sở tính chi thực hiện chính sách trợ giúp xã hội năm...</t>
  </si>
  <si>
    <t>Dùng cho cơ quan lao động - thương binh và xã hội báo cáo cơ quan tài chính cùng cấp</t>
  </si>
  <si>
    <t>Mẫu biểu số 14:</t>
  </si>
  <si>
    <t>Cơ sở tính chi hoạt động của các cơ quan quản lý nhà nước, đảng, đoàn thể năm...</t>
  </si>
  <si>
    <t>Mẫu biểu số 15.1:</t>
  </si>
  <si>
    <t>Dùng cho:
- Đơn vị sự nghiệp công tự bảo đảm một phần chi thường xuyên báo cáo cơ quan quản lý cấp trên
- Đơn vị dự toán cấp I báo cáo cơ quan tài chính cùng cấp</t>
  </si>
  <si>
    <t>Dùng cho:
- Đơn vị sự nghiệp công do Nhà nước bảo đảm chi thường xuyên báo cáo cơ quan quản lý cấp trên
- Đơn vị dự toán cấp I báo cáo cơ quan tài chính cùng cấp</t>
  </si>
  <si>
    <t>Dùng cho:
- Cơ quan lao động - thương binh và xã hội các cấp để báo cáo cơ quan lao động- thương binh và xã hội cấp trên
- Bộ Lao động-Thương binh và Xã hội báo cáo Bộ Tài chính</t>
  </si>
  <si>
    <t>CHI CHUYỂN NGUỒN SANG NĂM SAU</t>
  </si>
  <si>
    <t>Chi phát thanh, truyền hình, thông tấn</t>
  </si>
  <si>
    <t>Chi hoạt động của cơ quan quản lý nhà nước, đảng, đoàn thể</t>
  </si>
  <si>
    <t>Chi đầu tư khác</t>
  </si>
  <si>
    <t>Chi khoa học và công nghệ (2)</t>
  </si>
  <si>
    <t>Tổng hợp dự toán thu ngân sách nhà nước theo sắc thuế năm...</t>
  </si>
  <si>
    <t>Mẫu biểu số 03:</t>
  </si>
  <si>
    <t>Dự kiến số thuế giá trị gia tăng phải hoàn năm....</t>
  </si>
  <si>
    <t>Mẫu biểu số 04:</t>
  </si>
  <si>
    <t>Tổng hợp dự toán thu, chi các quỹ bảo hiểm năm...</t>
  </si>
  <si>
    <t>Mẫu biểu số 20:</t>
  </si>
  <si>
    <t>Dự toán chi tiết thu, chi Quỹ bảo hiểm xã hội năm...</t>
  </si>
  <si>
    <t>Mẫu biểu số 21:</t>
  </si>
  <si>
    <t>Dự toán chi tiết thu, chi Quỹ bảo hiểm y tế năm...</t>
  </si>
  <si>
    <t>Mẫu biểu số 22:</t>
  </si>
  <si>
    <t>Phần thứ tư</t>
  </si>
  <si>
    <t>5=2-4</t>
  </si>
  <si>
    <t>9=6-8</t>
  </si>
  <si>
    <t>Chi nộp ngân sách cấp trên</t>
  </si>
  <si>
    <t>Thu huy động đóng góp</t>
  </si>
  <si>
    <t>PHỤ LỤC</t>
  </si>
  <si>
    <t>Dùng cho:
- Cơ quan bảo hiểm xã hội các cấp báo cáo cơ quan bảo hiểm xã hội cấp trên
- Bảo hiểm xã hội Việt Nam báo cáo Bộ Tài chính</t>
  </si>
  <si>
    <t>Dùng cho:
- Đơn vị sử dụng ngân sách báo cáo đơn vị dự toán cấp trên
- Đơn vị dự toán cấp I báo cáo cơ quan tài chính và cơ quan kế hoạch và đầu tư cùng cấp</t>
  </si>
  <si>
    <t>Biểu 01</t>
  </si>
  <si>
    <t>Nguồn năm trước chuyển sang</t>
  </si>
  <si>
    <t>Dự toán giao trong năm</t>
  </si>
  <si>
    <t>Kinh phí còn dư</t>
  </si>
  <si>
    <t>Thu từ khu vực doanh nghiệp có vốn đầu tư nước ngoài</t>
  </si>
  <si>
    <t>Thu viện trợ</t>
  </si>
  <si>
    <t>TỔNG CHI NSĐP</t>
  </si>
  <si>
    <t>CHI CÂN ĐỐI NSĐP</t>
  </si>
  <si>
    <t>Chi đầu tư cho các dự án</t>
  </si>
  <si>
    <t>Chi an ninh và trật tự an toàn xã hội</t>
  </si>
  <si>
    <t>Chi thể dục thể thao</t>
  </si>
  <si>
    <t>Chi các hoạt động kinh tế</t>
  </si>
  <si>
    <t>Chi thường xuyên khác</t>
  </si>
  <si>
    <t>VII</t>
  </si>
  <si>
    <t>Kết dư ngân sách</t>
  </si>
  <si>
    <t>Chi y tế, dân số và gia đình</t>
  </si>
  <si>
    <t>Chi văn hóa thông tin</t>
  </si>
  <si>
    <t>Chi bảo vệ môi trường</t>
  </si>
  <si>
    <t>Sự nghiệp giáo dục</t>
  </si>
  <si>
    <t>Sự nghiệp đào tạo và dạy nghề</t>
  </si>
  <si>
    <t>Sự nghiệp khoa học và công nghệ</t>
  </si>
  <si>
    <t>Sự nghiệp y tế</t>
  </si>
  <si>
    <t>CHI CHUYỂN NGUỒN SANG NGÂN SÁCH NĂM SAU</t>
  </si>
  <si>
    <t>Mẫu biểu số 11.1:</t>
  </si>
  <si>
    <t>Dự toán chi các chương trình mục tiêu quốc gia, chương trình mục tiêu năm...</t>
  </si>
  <si>
    <t>Mẫu biểu số 11.2:</t>
  </si>
  <si>
    <t>Mẫu biểu số 12.1:</t>
  </si>
  <si>
    <t>Dự toán thu, chi theo lĩnh vực sự nghiệp năm...</t>
  </si>
  <si>
    <t>Dự toán thu, chi đơn vị sự nghiệp lĩnh vực năm...</t>
  </si>
  <si>
    <t>Mẫu biểu số 12.3:</t>
  </si>
  <si>
    <t>Mẫu biểu số 12.4:</t>
  </si>
  <si>
    <t>Mẫu biểu số 12.5:</t>
  </si>
  <si>
    <t>Mẫu biểu số 13.1:</t>
  </si>
  <si>
    <t>Cơ sở tính chi sự nghiệp giáo dục - đào tạo và dạy nghề năm...</t>
  </si>
  <si>
    <t>Chi thuộc nhiệm vụ của ngân sách cấp xã</t>
  </si>
  <si>
    <t xml:space="preserve">CHI BỔ SUNG CÂN ĐỐI CHO NGÂN SÁCH CẤP DƯỚI </t>
  </si>
  <si>
    <t>(2) Ngân sách xã không có nhiệm vụ chi bổ sung có mục tiêu cho ngân sách cấp dưới.</t>
  </si>
  <si>
    <t>Báo cáo biên chế - tiền lương của các cơ quan quản lý nhà nước, đảng, đoàn thể năm...</t>
  </si>
  <si>
    <t>Mẫu biểu số 15.2:</t>
  </si>
  <si>
    <t>Thu bổ sung cân đối ngân sách</t>
  </si>
  <si>
    <t>Thu bổ sung có mục tiêu</t>
  </si>
  <si>
    <t>Thu kết dư</t>
  </si>
  <si>
    <t>Thu chuyển nguồn từ năm trước chuyển sang</t>
  </si>
  <si>
    <t>TỔNG CHI NGÂN SÁCH ĐỊA PHƯƠNG</t>
  </si>
  <si>
    <t>Dự phòng ngân sách</t>
  </si>
  <si>
    <t>Chi chuyển nguồn sang năm sau</t>
  </si>
  <si>
    <t>Thu NSĐP được hưởng theo phân cấp</t>
  </si>
  <si>
    <t>D</t>
  </si>
  <si>
    <t>Kế hoạch vay và trả nợ ngân sách tỉnh, thành phố trực thuộc trung ương năm...</t>
  </si>
  <si>
    <t>Mẫu biểu số 31:</t>
  </si>
  <si>
    <t>CÁN BỘ TRÌNH</t>
  </si>
  <si>
    <t>(Ký tên, ghi rõ họ tên)</t>
  </si>
  <si>
    <t>1=2+3+4</t>
  </si>
  <si>
    <t>Dùng cho:
- Đơn vị sử dụng ngân sách trung ương báo cáo đơn vị dự toán cấp trên
- Đơn vị dự toán cấp I thuộc ngân sách trung ương báo cáo Bộ Tài chính</t>
  </si>
  <si>
    <t>Chuyển nguồn năm sau</t>
  </si>
  <si>
    <t>Hủy bỏ</t>
  </si>
  <si>
    <t>Tên đơn vị (1)</t>
  </si>
  <si>
    <t>Chi CTMTQG</t>
  </si>
  <si>
    <t>Chi giáo dục đào tạo dạy nghề</t>
  </si>
  <si>
    <t>So sách (%)</t>
  </si>
  <si>
    <t>Vốn đầu tư để thực hiện các CTMT, nhiệm vụ</t>
  </si>
  <si>
    <t>Vốn sự nghiệp thực hiện các chế độ, chính sách</t>
  </si>
  <si>
    <t>Vốn thực hiện các CTMT quốc gia</t>
  </si>
  <si>
    <t>Vốn ngoài nước</t>
  </si>
  <si>
    <t>3=4+5</t>
  </si>
  <si>
    <t>17=9/1</t>
  </si>
  <si>
    <t>18=10/2</t>
  </si>
  <si>
    <t>19=11/3</t>
  </si>
  <si>
    <t>20=12/4</t>
  </si>
  <si>
    <t>21=13/5</t>
  </si>
  <si>
    <t>22=14/6</t>
  </si>
  <si>
    <t>23=15/7</t>
  </si>
  <si>
    <t>24=16/8</t>
  </si>
  <si>
    <t>Tổng thu NSĐP</t>
  </si>
  <si>
    <t>Thu NSĐP hưởng theo phân cấp</t>
  </si>
  <si>
    <t>Số bổ sung cân đối từ ngân sách cấp trên</t>
  </si>
  <si>
    <t>Số bổ sung thực hiện cải cách tiền lương</t>
  </si>
  <si>
    <t>Thu từ kết dư năm trước</t>
  </si>
  <si>
    <t>Đầu tư phát triển</t>
  </si>
  <si>
    <t>Kinh phí sự nghiệp</t>
  </si>
  <si>
    <t>(KHÔNG BAO GỒM NGUỒN NGÂN SÁCH NHÀ NƯỚC)</t>
  </si>
  <si>
    <t>Sự nghiệp giáo dục - đào tạo và dạy nghề</t>
  </si>
  <si>
    <t>Sự nghiệp phát thanh truyền hình</t>
  </si>
  <si>
    <t>Chi bổ sung có mục tiêu</t>
  </si>
  <si>
    <t>Kết dư</t>
  </si>
  <si>
    <t xml:space="preserve">Ghi chú: </t>
  </si>
  <si>
    <t>Tổng thu NSNN</t>
  </si>
  <si>
    <t>Thu NSĐP</t>
  </si>
  <si>
    <t>5=3/1</t>
  </si>
  <si>
    <t>6=4/2</t>
  </si>
  <si>
    <t>TỔNG NGUỒN THU NSNN (A+B+C+D)</t>
  </si>
  <si>
    <t>Dùng cho:
- Đơn vị sử dụng ngân sách báo cáo đơn vị dự toán cấp trên
- Đơn vị dự toán cấp I ở địa phương báo cáo cơ quan tài chính, cơ quan kế hoạch và đầu tư cùng cấp</t>
  </si>
  <si>
    <t>Sử dụng phục vụ lập báo cáo địa phương</t>
  </si>
  <si>
    <t>Các mẫu biểu</t>
  </si>
  <si>
    <t>CQ báo cáo và nhận báo cáo</t>
  </si>
  <si>
    <t>Dự toán chi tiết thu, chi Quỹ bảo hiểm thất nghiệp năm…</t>
  </si>
  <si>
    <t>Tình hình thực hiện dự toán của các nhiệm vụ được chuyển nguồn sang năm sau của các đơn vị thuộc ngân sách các cấp năm... chuyển sang năm...</t>
  </si>
  <si>
    <t>Cân đối NSĐP năm... (dùng cho các năm trong thời kỳ ổn định ngân sách)</t>
  </si>
  <si>
    <t>Mẫu biểu số 30:</t>
  </si>
  <si>
    <t>Quyết toán thu NSNN, vay NSĐP năm...</t>
  </si>
  <si>
    <t>Mẫu biểu số 62:</t>
  </si>
  <si>
    <t>Quyết toán chi ngân sách địa phương năm....</t>
  </si>
  <si>
    <t>Mẫu biểu số 63:</t>
  </si>
  <si>
    <t>Quyết toán chi, trả nợ NSĐP theo mục lục ngân sách nhà nước năm...</t>
  </si>
  <si>
    <t>Mẫu biểu số 65:</t>
  </si>
  <si>
    <t>Quyết toán chi chương trình mục tiêu theo mục lục ngân sách nhà nước năm....</t>
  </si>
  <si>
    <t>Mẫu biểu số 66:</t>
  </si>
  <si>
    <t>Thu cố định tại xã</t>
  </si>
  <si>
    <t>1</t>
  </si>
  <si>
    <t>Thu từ quỹ dự trữ tài chính</t>
  </si>
  <si>
    <t>Dùng cho:
- Đơn vị sử dụng ngân sách báo cáo đơn vị dự toán cấp trên
- Đơn vị dự toán cấp I báo cáo cơ quan tài chính cùng cấp</t>
  </si>
  <si>
    <t>Nguồn thu tiền sử dụng đất</t>
  </si>
  <si>
    <t xml:space="preserve">Nội dung </t>
  </si>
  <si>
    <t>Cơ sở tính chi sự nghiệp thể dục thể thao năm...</t>
  </si>
  <si>
    <t>Mẫu biểu số 13.7:</t>
  </si>
  <si>
    <t>Chi thường xuyên</t>
  </si>
  <si>
    <t>TỔNG SỐ</t>
  </si>
  <si>
    <t>Kinh phí thực hiện trong năm</t>
  </si>
  <si>
    <t>Nguồn còn lại</t>
  </si>
  <si>
    <t>Dự toán đầu năm</t>
  </si>
  <si>
    <t>Mẫu biểu số 13.2:</t>
  </si>
  <si>
    <t>Cơ sở tính chi sự nghiệp y tế, dân số và gia đình năm...</t>
  </si>
  <si>
    <t>Mẫu biểu số 13.3:</t>
  </si>
  <si>
    <t>Cơ sở tính chi sự nghiệp khoa học và công nghệ năm...</t>
  </si>
  <si>
    <t>Mẫu biểu số 13.4:</t>
  </si>
  <si>
    <t>Cơ sở tính chi sự nghiệp văn hóa thông tin năm...</t>
  </si>
  <si>
    <t>Mẫu biểu số 13.5:</t>
  </si>
  <si>
    <t>Cơ sở tính chi sự nghiệp phát thanh, truyền hình, thông tấn năm...</t>
  </si>
  <si>
    <t>Mẫu biểu số 13.6:</t>
  </si>
  <si>
    <t>Dùng cho:
- Đơn vị sử dụng ngân sách ở trung ương báo cáo đơn vị dự toán cấp trên
- Đơn vị dự toán cấp I thuộc ngân sách trung ương báo cáo Bộ Tài chính, Bộ Kế hoạch và Đầu tư</t>
  </si>
  <si>
    <t>- Đơn vị dự toán cấp I các cấp báo cáo cơ quan tài chính cùng cấp.
- Dùng cho Ủy ban nhân dân báo cáo cơ quan tài chính cấp trên trực tiếp</t>
  </si>
  <si>
    <r>
      <t xml:space="preserve">Mẫu biểu số 44 </t>
    </r>
    <r>
      <rPr>
        <i/>
        <sz val="12"/>
        <color indexed="8"/>
        <rFont val="Times New Roman"/>
        <family val="1"/>
      </rPr>
      <t>(gồm mẫu biểu số 44.1 và 44.2):</t>
    </r>
  </si>
  <si>
    <t>Thuyết minh phân bổ chi sự nghiệp bảo vệ môi trường</t>
  </si>
  <si>
    <r>
      <t xml:space="preserve">Mẫu biểu số 45 </t>
    </r>
    <r>
      <rPr>
        <i/>
        <sz val="12"/>
        <color indexed="8"/>
        <rFont val="Times New Roman"/>
        <family val="1"/>
      </rPr>
      <t>(gồm mẫu biểu số 45.1; 45.2 và 45.3):</t>
    </r>
  </si>
  <si>
    <t>Thuyết minh phân bổ chi hoạt động kinh tế</t>
  </si>
  <si>
    <r>
      <t xml:space="preserve">Mẫu biểu số 46 </t>
    </r>
    <r>
      <rPr>
        <i/>
        <sz val="12"/>
        <color indexed="8"/>
        <rFont val="Times New Roman"/>
        <family val="1"/>
      </rPr>
      <t>(gồm mẫu biểu số 46.1; 46.2 và 46.3):</t>
    </r>
  </si>
  <si>
    <t>Thuyết minh phân bổ chi quản lý hành chính</t>
  </si>
  <si>
    <t>Thu NSĐP hưởng từ các khoản thu phân chia</t>
  </si>
  <si>
    <t xml:space="preserve">Thu bổ sung từ ngân sách cấp trên </t>
  </si>
  <si>
    <t xml:space="preserve">Tổng chi cân đối NSĐP </t>
  </si>
  <si>
    <t>Chi trả nợ lãi các khoản do chính quyền địa phương vay</t>
  </si>
  <si>
    <t>Chi tạo nguồn, điều chỉnh tiền lương</t>
  </si>
  <si>
    <t>Chi các chương trình mục tiêu</t>
  </si>
  <si>
    <t>Chi các chương trình mục tiêu quốc gia</t>
  </si>
  <si>
    <t>Phần thứ nhất</t>
  </si>
  <si>
    <t>Mẫu biểu lập dự toán thu ngân sách nhà nước</t>
  </si>
  <si>
    <t>Mẫu biểu số 01:</t>
  </si>
  <si>
    <t>Tổng hợp dự toán thu ngân sách nhà nước năm....</t>
  </si>
  <si>
    <t>Dùng cho cơ quan thuế các cấp báo cáo: Cơ quan thuế cấp trên, UBND, cơ quan tài chính, cơ quan kế hoạch và đầu tư cùng cấp</t>
  </si>
  <si>
    <t>Mẫu biểu số 02:</t>
  </si>
  <si>
    <t>Tổng hợp dự toán thu từ hoạt động xuất nhập khẩu năm...</t>
  </si>
  <si>
    <t>Dùng cho cơ quan hải quan các cấp báo cáo: Cơ quan hải quan cấp trên, UBND, cơ quan tài chính, cơ quan kế hoạch và đầu tư cùng cấp</t>
  </si>
  <si>
    <t>Phần thứ hai</t>
  </si>
  <si>
    <t>Báo cáo chi chuyển nguồn sang năm sau năm....</t>
  </si>
  <si>
    <t>Dùng cho cơ quan tài chính báo cáo cơ quan tài chính cấp trên trực tiếp</t>
  </si>
  <si>
    <t>Phụ lục</t>
  </si>
  <si>
    <t>x</t>
  </si>
  <si>
    <t>Nguyễn Thị Hương</t>
  </si>
  <si>
    <t>Mẫu biểu lập dự toán chi đầu tư phát triển</t>
  </si>
  <si>
    <t>Mẫu biểu số 23:</t>
  </si>
  <si>
    <t>Dự toán chi đầu tư nguồn NSNN (vốn trong nước) năm...</t>
  </si>
  <si>
    <t>Mẫu biểu số 24:</t>
  </si>
  <si>
    <t>Biểu số 5.13</t>
  </si>
  <si>
    <t>Biểu số 5.5</t>
  </si>
  <si>
    <t>Biểu số 5.7</t>
  </si>
  <si>
    <t>Biểu số 5.8</t>
  </si>
  <si>
    <t>Biểu số 5.9</t>
  </si>
  <si>
    <t>Biểu số 5.10</t>
  </si>
  <si>
    <t>Biểu số 5.11</t>
  </si>
  <si>
    <t>Biểu số 5.12</t>
  </si>
  <si>
    <t>Biểu số 5.14</t>
  </si>
  <si>
    <t>Biểu số 5.24</t>
  </si>
  <si>
    <t>Biểu số 5.26</t>
  </si>
  <si>
    <t>Biểu số 5.29</t>
  </si>
  <si>
    <t>Dùng cho các bộ, cơ quan trung ương báo cáo Bộ Tài chính (kèm theo mẫu A phụ lục 2)</t>
  </si>
  <si>
    <t>Mẫu biểu số 37:</t>
  </si>
  <si>
    <t>Phân bổ dự toán thu, chi ngân sách nhà nước năm...</t>
  </si>
  <si>
    <t>Mẫu biểu số 38:</t>
  </si>
  <si>
    <t>Thuyết minh phân bổ chi sự nghiệp giáo dục - đào tạo và dạy nghề</t>
  </si>
  <si>
    <t>Thu hồi vốn , lợi nhuận, lợi nhuận sau thuế, chênh lệch thu chi của NHNN</t>
  </si>
  <si>
    <t xml:space="preserve"> Thuế tiêu thụ đặc biệt</t>
  </si>
  <si>
    <t>Hỗ trợ quản lý học sinh ở bán trú NQ 54 thay thế trong trường phổ thông</t>
  </si>
  <si>
    <t>Nguồn trung ương</t>
  </si>
  <si>
    <t>CTMT phát triển lâm nghiệp bền vững (kinh phí khoán bảo vệ, khoanh nuôi tái sinh rừng tự nhiên)- Mã CTMT 0620</t>
  </si>
  <si>
    <t>CHI THỰC HIỆN NHIỆM VỤ</t>
  </si>
  <si>
    <t>Chi các chương trình nhiệm vụ</t>
  </si>
  <si>
    <t>Chi Khoa học công nghệ</t>
  </si>
  <si>
    <t>Thu bổ sung cân đối</t>
  </si>
  <si>
    <t>Biểu số 5.16</t>
  </si>
  <si>
    <t>Tên biểu</t>
  </si>
  <si>
    <t>Số trang</t>
  </si>
  <si>
    <t>Thu ngân sách huyện xã hưởng theo phân cấp, thu từ cấp dưới nộp lên, tăng thu ngân sách…</t>
  </si>
  <si>
    <t>Kinh phí cải cách tiền lương</t>
  </si>
  <si>
    <t>Kinh phí hỗ trợ đất lúa theo Nghị định 35</t>
  </si>
  <si>
    <t>Huyện</t>
  </si>
  <si>
    <t>Xã</t>
  </si>
  <si>
    <t>Tồn</t>
  </si>
  <si>
    <t>Nông Thị Anh Thơ</t>
  </si>
  <si>
    <t>Kinh phí bảo đảm trật tự an toàn giao thông</t>
  </si>
  <si>
    <t>Xã Cường Lợi</t>
  </si>
  <si>
    <t>Văn Vũ</t>
  </si>
  <si>
    <t>Trần Phú</t>
  </si>
  <si>
    <t xml:space="preserve">Đầu tư phát triển </t>
  </si>
  <si>
    <t>Tổng dự toán</t>
  </si>
  <si>
    <t>Chính sách học bổng học sinh nội trú theo QĐ số 82/2006/QĐ-TTg</t>
  </si>
  <si>
    <t>CHƯƠNG TRÌNH MỤC TIÊU</t>
  </si>
  <si>
    <t>Xây dựng nhà bán trú và sửa chữa một số hạng mục Trường phổ thông dân tộc bán trú THCS Văn Vũ, huyện Na Rì</t>
  </si>
  <si>
    <t>Xây dựng cầu tràn Nà Nôm - Hát Lài, xã Sơn Thành, huyện Na Rì</t>
  </si>
  <si>
    <t>Sửa chữa, nâng cấp đường từ quốc lộ 279 vào trung tâm xã Kim Hỷ, huyện Na Rì</t>
  </si>
  <si>
    <t xml:space="preserve"> + </t>
  </si>
  <si>
    <t>Dự toán điều chỉnh</t>
  </si>
  <si>
    <t>,</t>
  </si>
  <si>
    <t>Nguồn NS tỉnh</t>
  </si>
  <si>
    <t>2=3+4+5+6</t>
  </si>
  <si>
    <t>7=8+9+10+11</t>
  </si>
  <si>
    <t>12=13+14</t>
  </si>
  <si>
    <t>16=17+18+19+20</t>
  </si>
  <si>
    <t>Kho bạc Nhà nước</t>
  </si>
  <si>
    <t>TỔNG</t>
  </si>
  <si>
    <t>3.1</t>
  </si>
  <si>
    <t>Quỹ Khuyến học</t>
  </si>
  <si>
    <t>5.3</t>
  </si>
  <si>
    <t>7.1</t>
  </si>
  <si>
    <t>Quỹ Nhân đạo</t>
  </si>
  <si>
    <t xml:space="preserve">PHÒNG TÀI CHÍNH - KẾ HOẠCH </t>
  </si>
  <si>
    <t>BÁO CÁO</t>
  </si>
  <si>
    <t xml:space="preserve"> STT</t>
  </si>
  <si>
    <t xml:space="preserve"> Nội dung</t>
  </si>
  <si>
    <t>Số QĐ</t>
  </si>
  <si>
    <t>ngày, tháng</t>
  </si>
  <si>
    <t>Kinh phí quyết toán</t>
  </si>
  <si>
    <t>Nộp trả</t>
  </si>
  <si>
    <t>NGUỒN THỰC HIỆN CHÍNH SÁCH TIỀN LƯƠNG</t>
  </si>
  <si>
    <t>Nguồn năm trước</t>
  </si>
  <si>
    <t>Nguồn năm 2020 chuyển nguồn (đã bao gồm  70% tăng thu năm 2020)</t>
  </si>
  <si>
    <t>Nguồn  đầu năm</t>
  </si>
  <si>
    <t>CCTL đầu năm</t>
  </si>
  <si>
    <t>Nguồn trong năm</t>
  </si>
  <si>
    <t>Thu hồi cải cách tiền lương của xã</t>
  </si>
  <si>
    <t>Tổng kinh phí đã phân bổ</t>
  </si>
  <si>
    <t>13/8/2021</t>
  </si>
  <si>
    <t xml:space="preserve">Kinh phí bảo trợ xã hội theo Nghị định 20/NĐ-CP  </t>
  </si>
  <si>
    <t>Chi chương trình mục tiêu quốc gia giảm nghèo bền vững - CTMT 000470</t>
  </si>
  <si>
    <t xml:space="preserve">Dự án 2. Đa dạng hóa sinh kế, phát triển mô hình giảm nghèo </t>
  </si>
  <si>
    <t>Nguồn NSTW</t>
  </si>
  <si>
    <t>Nộp trả trong năm</t>
  </si>
  <si>
    <t>Dự án 4.  Phát triển giáo dục nghề nghiệp, việc làm bền vững</t>
  </si>
  <si>
    <t>Dự án 6. Truyền thông và giảm nghèo về thông tin</t>
  </si>
  <si>
    <t>Dự án 7. Nâng cao năng lực và giám sát, đánh giá Chương trình</t>
  </si>
  <si>
    <t>Nội dung thành phần số 03: Tiếp tục thực hiện có hiệu quả cơ cấu lại ngành nông nghiệp, phát triển kinh tế nông thôn</t>
  </si>
  <si>
    <t>Nội dung thành phần số 11: Tăng cường công tác giám sát, đánh giá thực hiện chương trình; Nâng cao năng lực, truyền thông xây dựng nông thôn mới; thực hiện phong trào thi đua cả nước chung sức xây dựng nông thôn mới</t>
  </si>
  <si>
    <t>Chương trình MTQG phát triển KT-XH vùng ĐBDTTS</t>
  </si>
  <si>
    <t>Dự án 4- Đầu tư cơ sở hạ tầng thiết yếu vùng đồng bào dân tộc thiểu số và miền núi; ưu tiên đối với các xã ĐBKK, thôn ĐBKK</t>
  </si>
  <si>
    <t>Nguồn NSĐP</t>
  </si>
  <si>
    <t>Dự án 1: Giải quyết tình trạng thiếu đất ở, nhà ở, đất sản xuất, nước sinh hoạt</t>
  </si>
  <si>
    <t>Dự án 3: Phát triển sản xuất nông, lâm nghiệp bền vững, phát huy tiềm năng, thế mạnh của các vùng miền để sản xuất hàng hóa theo chuỗi giá trị</t>
  </si>
  <si>
    <t>Tiểu dự án 1: Phát triển kinh tế nông, lâm nghiệp bền vững gắn với bảo vệ rừng và nâng cao thu nhập cho người dân</t>
  </si>
  <si>
    <t>Tiểu dự án 2: Hỗ trợ phát triển sản xuất theo chuỗi giá trị, vùng trồng dược liệu quý, thúc đẩy khởi sự kinh doanh, khởi nghiệp và thu hút đầu tư vùng đồng bào dân tộc thiểu số và miền núi</t>
  </si>
  <si>
    <t>2.2.2</t>
  </si>
  <si>
    <t>Dự án 5: Phát triển giáo dục đào tạo nâng cao chất lượng nguồn nhân lực</t>
  </si>
  <si>
    <t>Tiểu dự án 1: Đổi mới hoạt động, củng cố phát triển các trường phổ thông dân tộc nội trú, trường phổ thông dân tộc bán trú, trường phổ thông có học sinh ở bán trú và xóa mù chữ cho người dân vùng đồng bào dân tộc thiểu số</t>
  </si>
  <si>
    <t>Tiểu dự án 2: Bồi dưỡng kiến thức dân tộc; đào tạo dự bị đại học, đại học và sau đại học đáp ứng nhu cầu nhân lực cho vùng đồng bào dân tộc thiểu số và miền núi</t>
  </si>
  <si>
    <t>Tiểu dự án 3: Dự án phát triển giáo dục nghề nghiệp và giải quyết việc làm cho người lao động vùng dân tộc thiểu số và miền núi</t>
  </si>
  <si>
    <t>2.4.1</t>
  </si>
  <si>
    <t>2.4.2</t>
  </si>
  <si>
    <t>2.4.3</t>
  </si>
  <si>
    <t>Dự án 6: Bảo tồn, phát huy giá trị văn hóa truyền thống tốt đẹp của các dân tộc thiểu số gắn với phát triển du lịch</t>
  </si>
  <si>
    <t>Dự án 7: Chăm sóc sức khỏe Nhân dân, nâng cao thể trạng, tầm vóc người dân tộc thiểu số; phòng chống suy dinh dưỡng trẻ em</t>
  </si>
  <si>
    <t>Dự án 8: Thực hiện bình đẳng giới và giải quyết những vấn đề cấp thiết đối với phụ nữ và trẻ em</t>
  </si>
  <si>
    <t>Dự án 9: Đầu tư phát triển nhóm dân tộc thiểu số rất ít người và nhóm dân tộc còn nhiều khó khăn</t>
  </si>
  <si>
    <t>Dự án 10: Truyền thông, tuyên truyền, vận động trong vùng đồng bào dân tộc thiểu số và miền núi.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</si>
  <si>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 giai đoạn 2021-2030</t>
  </si>
  <si>
    <t>2.9.1</t>
  </si>
  <si>
    <t>Tiểu dự án 2: Ứng dụng công nghệ thông tin hỗ trợ phát triển kinh tế - xã hội và đảm bảo an ninh trật tự vùng đồng bào dân tộc thiểu số và miền núi</t>
  </si>
  <si>
    <t>2.9.2</t>
  </si>
  <si>
    <t>2.9.3</t>
  </si>
  <si>
    <t>Tiểu dự án 3: Kiểm tra, giám sát, đánh giá, đào tạo, tập huấn tổ chức thực hiện Chương trình</t>
  </si>
  <si>
    <t xml:space="preserve">Kinh phí thực hiện chính sách đối với các đối tượng tinh giản biên chế theo Nghị quyết 05/2020/NQ-HĐND ngày 05/5/2020 của HĐND tỉnh đối với cán bộ, công chức cấp xã nghỉ hưu trước tuổi </t>
  </si>
  <si>
    <t>Nguồn kinh phí điều chỉnh kế hoạch đầu tư công (hỗ trợ quy hoạch)</t>
  </si>
  <si>
    <t>Nguồn chương trình mục tiêu quốc gia DTTS và miền núi</t>
  </si>
  <si>
    <t>Chi cải cách tiền lương</t>
  </si>
  <si>
    <t>Tỉnh cấp bổ sung</t>
  </si>
  <si>
    <t xml:space="preserve">Chi đầu tư phát triển khác </t>
  </si>
  <si>
    <t>Chương trình MTQGGNBV- Mã CTMT 000470</t>
  </si>
  <si>
    <t>Chương trình MTQGNTM -CTMT 00490</t>
  </si>
  <si>
    <t>Chương trình MTQGDTMN- Mã CTMT 00510</t>
  </si>
  <si>
    <t>QUYẾT TOÁN CHI ĐẦU TƯ PHÁT TRIỂN CỦA NGÂN SÁCH CẤP HUYỆN CHO TỪNG CƠ QUAN, TỔ CHỨC THEO LĨNH VỰC NĂM 2022</t>
  </si>
  <si>
    <t>Chi khác</t>
  </si>
  <si>
    <t>Sửa chữa nâng cấp hệ thống điện chiếu sáng Nội thị thị trấn Yến Lạc, huyện Na Rì</t>
  </si>
  <si>
    <t>Chương trình mục tiêu quốc gia nông thôn mới - CTMT 00490</t>
  </si>
  <si>
    <t>TỔNG CỘNG</t>
  </si>
  <si>
    <t>Cấp xã điều chỉnh sang nguồn tiết kiệm chi do kho bạc hạch toán nhầm nội dung (tiểu mục)</t>
  </si>
  <si>
    <t xml:space="preserve">Cấp xã phân bổ chi chỉnh mức trợ cấp hằng tháng đối với cán bộ xã nghỉ việc…. </t>
  </si>
  <si>
    <t>Chi trả theo NĐ 76</t>
  </si>
  <si>
    <t xml:space="preserve">Sự nghiệp kinh tế </t>
  </si>
  <si>
    <t>70% tăng thu làm nguồn CCTL 2022</t>
  </si>
  <si>
    <t>Thu hồi cải cách tiền lương của ĐV trường học</t>
  </si>
  <si>
    <t>Cấp kinh phí điều chỉnh mức trợ cấp cán bộ xã già yếu, nghỉ việc</t>
  </si>
  <si>
    <t>Cấp kinh phí trợ cấp công an viên, điều chỉnh lương</t>
  </si>
  <si>
    <t>Mượn nguồn chi trả chính sách an sinh (NĐ 20)</t>
  </si>
  <si>
    <t>Nộp trả ngân sách cấp huyện</t>
  </si>
  <si>
    <t xml:space="preserve">Thu từ khu vực DNNN do trung ương quản lý </t>
  </si>
  <si>
    <t>Thu từ khu vực DNNN do địa phương quản lý</t>
  </si>
  <si>
    <t xml:space="preserve">Lợi nhuận được chia của Nhà nước và lợi nhuận sau thuế còn lại sau khi trích lập các quỹ của doanh nghiệp nhà nước </t>
  </si>
  <si>
    <t>Chênh lệch thu chi Ngân hàng Nhà nước</t>
  </si>
  <si>
    <t xml:space="preserve">Chương trình MTQG phát triển KT-XH vùng ĐBDTTS (Mã CTMT: 0510) </t>
  </si>
  <si>
    <t>Kinh phí hỗ trợ tiền điện hộ nghèo, hộ chính sách</t>
  </si>
  <si>
    <t xml:space="preserve"> Kinh phí cấp bù miễn thủy lợi phí</t>
  </si>
  <si>
    <t xml:space="preserve">Chính sách giáo dục đối với người khuyết tật </t>
  </si>
  <si>
    <t xml:space="preserve">Chương trình mục tiêu quốc gia XDNTM (Mã CTMT: 0490) </t>
  </si>
  <si>
    <t>Nguyễn Ngọc Cương</t>
  </si>
  <si>
    <t xml:space="preserve">Tên đơn vị </t>
  </si>
  <si>
    <t>Biểu số 5.15</t>
  </si>
  <si>
    <t>Số quyết định, ngày tháng năm ban hành</t>
  </si>
  <si>
    <t>Cân đối NSĐP</t>
  </si>
  <si>
    <t>CTMTQG (NS tỉnh đối ứng)</t>
  </si>
  <si>
    <t>CT MTQG (NS tỉnh đối ứng)</t>
  </si>
  <si>
    <t>UBND xã Kim Lư</t>
  </si>
  <si>
    <t>Chi chương trình mục tiêu quốc gia giảm nghèo bền vững - CTMT 0470</t>
  </si>
  <si>
    <t>Chi nộp trả ngân sách cấp trên</t>
  </si>
  <si>
    <t>Dự án 1- Giải quyết tình trạng thiếu đất ở, nhà ở, đất sản xuất, nước sinh hoạt</t>
  </si>
  <si>
    <t>Dự án 6- Bảo tồn, phát huy giá trị văn hóa truyền thống tốt đẹp của các dân tộc thiểu số gắn với phát triển du lịch</t>
  </si>
  <si>
    <t>Xây dựng nhà hiệu bộ Trường TH&amp;THCS Cường Lợi, huyện Na Rì</t>
  </si>
  <si>
    <t xml:space="preserve">Dự án 3: Hỗ trợ phát triển sản xuất, cải thiện dinh dưỡng </t>
  </si>
  <si>
    <t xml:space="preserve">Tiểu dự án 2: Cải thiện dinh dưỡng </t>
  </si>
  <si>
    <t>Tiểu dự án 1: Hỗ trợ phát triển sản xuất trong lĩnh vực nông lâm nghiệp</t>
  </si>
  <si>
    <t>Tiểu dự án 3: Hỗ trợ việc làm bền vững</t>
  </si>
  <si>
    <t>Tiểu dự án 1: Giảm nghèo về thông tin</t>
  </si>
  <si>
    <t>Tiểu dự án 2: Truyền thông về giảm nghèo đa chiều</t>
  </si>
  <si>
    <t>Tiểu dự án 1: Nâng cao năng lực thực hiện Chương trình</t>
  </si>
  <si>
    <t>Tiểu dự án 2: Giám sát, đánh giá</t>
  </si>
  <si>
    <t>Nội dung thành phần số 02:  Phát triển hạ tầng kinh tế - xã hội, cơ bản đồng bộ, hiện đại, đảm bảo kết nối nông thôn - đô thị và kết nối các vùng miền</t>
  </si>
  <si>
    <t>Dự án 10: Truyền thông, tuyên truyền, vận động trong vùng đồng bào dân tộc thiểu số và miền núi. Kiểm tra, giám sát đánh giá việc tổ chức thực hiện Chương trình (Tiểu dự án 1)</t>
  </si>
  <si>
    <t>2.4.4</t>
  </si>
  <si>
    <t>Tiểu dự án 4: Đào tạo nâng cao năng lực cho cộng đồng và cán bộ triển khai Chương trình ở các cấp</t>
  </si>
  <si>
    <t>Kinh phí quản lý, bảo trì đường bộ địa phương năm 2023</t>
  </si>
  <si>
    <t>Nguồn dự phòng 2023</t>
  </si>
  <si>
    <t>Kinh phí  đào tạo, bồi dưỡng giáo viên trên địa bàn tỉnh theo NQ 16/2022/NQ-HĐND tỉnh</t>
  </si>
  <si>
    <t>Kinh phí hỗ trợ giáo viên dạy học sinh khuyết tật theo NĐ 113/2005/NĐ-CP</t>
  </si>
  <si>
    <t>Kinh phí bổ nhiệm chức danh nghề nghiệp</t>
  </si>
  <si>
    <t>Thị trấn</t>
  </si>
  <si>
    <t>Xuân dương</t>
  </si>
  <si>
    <t>DTTS</t>
  </si>
  <si>
    <t>L. Thượng</t>
  </si>
  <si>
    <t>S. Thành</t>
  </si>
  <si>
    <t>V.Lang</t>
  </si>
  <si>
    <t>D.Sơn</t>
  </si>
  <si>
    <t>V.Vũ</t>
  </si>
  <si>
    <t>V.Minh</t>
  </si>
  <si>
    <t>Đ.Xá</t>
  </si>
  <si>
    <t>L.Thủy</t>
  </si>
  <si>
    <t>K.Lư</t>
  </si>
  <si>
    <t>Nông thôn mới</t>
  </si>
  <si>
    <t>Phát triển hạ tầng kinh tế - xã hội, cơ bản đồng bộ, hiện đại, đảm bảo kết nối nông thôn - đô thị và kết nối các vùng miền”;</t>
  </si>
  <si>
    <t>Nộp trả ngân tỉnh</t>
  </si>
  <si>
    <t>UBND xã Côn Minh</t>
  </si>
  <si>
    <t>UBND xã Dương Sơn</t>
  </si>
  <si>
    <t>UBND xã Văn Minh</t>
  </si>
  <si>
    <t>UBND xã Kim Hỷ</t>
  </si>
  <si>
    <t>UBND xã Cư Lễ</t>
  </si>
  <si>
    <t>UBND xã Lương Thượng</t>
  </si>
  <si>
    <t>UBND xã Văn Lang</t>
  </si>
  <si>
    <t>UBND xã Sơn Thành</t>
  </si>
  <si>
    <t>UBND xã Văn Vũ</t>
  </si>
  <si>
    <t>UBND xã Trần Phú</t>
  </si>
  <si>
    <t>UBND xã Cường Lợi</t>
  </si>
  <si>
    <t>UBND xã Đổng Xá</t>
  </si>
  <si>
    <t>UBND xã Quang Phong</t>
  </si>
  <si>
    <t>Ban Đại diện Quỹ Hội nông dân huyện</t>
  </si>
  <si>
    <t>Nguồn tiết kiệm chi huyện 2022</t>
  </si>
  <si>
    <t>NSĐP DA4</t>
  </si>
  <si>
    <t>NTM</t>
  </si>
  <si>
    <t>Tiết kiệm chi</t>
  </si>
  <si>
    <t>Khắc phục sạt lở tường rào Trường PTDTBT THCS Văn Vũ, huyện Na Rì</t>
  </si>
  <si>
    <t>Xây dựng phòng học bộ môn Trường TH&amp;THCS Kim Lư, huyện Na Rì</t>
  </si>
  <si>
    <t>Khắc phục sạt lở tường kè bảo vệ sân Nhà Văn hóa thôn Háng Cáu, xã Kim Lư, huyện Na Rì</t>
  </si>
  <si>
    <t>Khắc phục sạt lở cống thoát nước đường thôn Khuổi Nộc, xã Lương Thượng, huyện Na Rì</t>
  </si>
  <si>
    <t>Khắc phục sạt lở ta luy âm đường trục thôn Thôm Pục, xã Sơn Thành, huyện Na Rì</t>
  </si>
  <si>
    <t>Khắc phục sạt lở đường bê tông thôn Lùng Pảng, xã Côn Minh, huyện Na Rì</t>
  </si>
  <si>
    <t>Khắc phục sạt lở cầu Khuổi Rịa, thôn Khuổi Vạc, xã Văn Vũ, huyện Na Rì</t>
  </si>
  <si>
    <t>Khắc phục sạt lở ta luy âm cầu Thoòng Kéo, tuyến đường Kim Hỷ - Vũ Muộn, huyện Na Rì</t>
  </si>
  <si>
    <t>Khắc phục sạt lở tuyến đường Cường Lợi - Vũ Loan, huyện Na Rì</t>
  </si>
  <si>
    <t>Đưa mốc giới ra thực địa và lập hồ sơ quản lý dữ liệu bằng hệ thống thông tin địa lý (GIS) quy hoạch chung xây dựng xã Sơn Thành, huyện Na Rì giai đoạn 2021-2030</t>
  </si>
  <si>
    <t>Thuế môn bài</t>
  </si>
  <si>
    <t xml:space="preserve"> NGUỒN CẢI CÁCH TIỀN LƯƠNG  NĂM 2023</t>
  </si>
  <si>
    <t>Na Rì, ngày 18 tháng 6 năm 2024</t>
  </si>
  <si>
    <r>
      <t xml:space="preserve">Trong đó: Hỗ trợ từ NSĐP </t>
    </r>
    <r>
      <rPr>
        <sz val="10"/>
        <rFont val="Times New Roman"/>
        <family val="1"/>
      </rPr>
      <t>(nếu có)</t>
    </r>
  </si>
  <si>
    <t>13=10-12</t>
  </si>
  <si>
    <t>14=1+6-8</t>
  </si>
  <si>
    <t>Quỹ Bảo trợ trẻ em</t>
  </si>
  <si>
    <t>Quỹ Vì người nghèo</t>
  </si>
  <si>
    <t>Đơn vị được hỗ trợ</t>
  </si>
  <si>
    <t>Văn bản của UBND huyện/ngày, tháng</t>
  </si>
  <si>
    <t>Kinh phí đối ứng ChildFund</t>
  </si>
  <si>
    <t xml:space="preserve"> BQL chương trình phát triển cộng đồng huyện Na Rì </t>
  </si>
  <si>
    <t>QĐ 4388/QĐ-UBND ngày 21/12/2022</t>
  </si>
  <si>
    <t xml:space="preserve">Kinh phí ủy thác để cho hộ nghèo và các đối tượng chính sách khác trên địa bàn huyện vay </t>
  </si>
  <si>
    <t>Phòng giao dịch ngân hàng chính sách xã hội huyện</t>
  </si>
  <si>
    <t>Hỗ trợ công tác quyết toán ngân sách năm 2023</t>
  </si>
  <si>
    <t>Kho bạc nhà nước huyện</t>
  </si>
  <si>
    <t>QĐ 5992/QĐ-UBND ngày 29/12/2023</t>
  </si>
  <si>
    <t>Hỗ trợ hoạt động của hội thẩm; Hỗ trợ kinh phí xét xử lưu động, phiên tòa trực tuyến</t>
  </si>
  <si>
    <t>Tòa àn huyện</t>
  </si>
  <si>
    <t>QĐ 1334/QĐ-UBND ngày 05/5/2023; QĐ 2836/QĐ-UBND ngày 20/9/2023</t>
  </si>
  <si>
    <t>Hỗ kinh phí đại hội điểm, địa hội đại biểu công đoàn lần thứ VIII, nhiệm kỳ 2023-2028</t>
  </si>
  <si>
    <t>Liên đoàn Lao động huyện</t>
  </si>
  <si>
    <t>QĐ 1334/QĐ-UBND ngày 05/5/2023</t>
  </si>
  <si>
    <t>Hỗ trợ HTX thực hiện Dự án liên kết trong sản xuất và tiêu thụ sản phẩm dê thương phẩm (Nguồn tỉnh cấp bổ sung)</t>
  </si>
  <si>
    <t>Hợp tác xã An Diệp</t>
  </si>
  <si>
    <t xml:space="preserve">QĐ 2083/QĐ-UBND ngày 01/8/2023; QĐ 5988/QĐ-UBND ngày 29/12/2023; </t>
  </si>
  <si>
    <t>Hỗ trợ HTX Dự án liên kết trong sản xuất và tiêu thụ sản phẩm khoai tây (Nguồn tỉnh cấp bổ sung)</t>
  </si>
  <si>
    <t>Hợp tác xã Bình Minh</t>
  </si>
  <si>
    <t>Văn bản của UBND Tỉnh /ngày, tháng</t>
  </si>
  <si>
    <t>Đơn vị sử dụng</t>
  </si>
  <si>
    <t>Số phân bổ</t>
  </si>
  <si>
    <t>Số quyết toán</t>
  </si>
  <si>
    <t>Nguồn tiền sử dụng đất 2023</t>
  </si>
  <si>
    <t>Năm 2022 còn dư chưa quyết toán chuyển sang</t>
  </si>
  <si>
    <t>QĐ 1689/QĐ-UBND ngày 01/6/2023</t>
  </si>
  <si>
    <t>Thu tiền sử dụng đất trong năm</t>
  </si>
  <si>
    <t>Chi tiền sử dụng đất</t>
  </si>
  <si>
    <t>Ban Quản lý dự án ĐTXD</t>
  </si>
  <si>
    <t>QĐ 2932/QĐ-UBND ngày 30/9/2023</t>
  </si>
  <si>
    <t>Giải phóng mặt bằng và san nền trụ sở công an xã Cư Lễ, xã Văn Vũ, huyện Na Rì</t>
  </si>
  <si>
    <t>QĐ 2007/QĐ-UBND ngày 25/7/2023</t>
  </si>
  <si>
    <t>xã Sơn Thành</t>
  </si>
  <si>
    <t>Đưa mốc giới ra thực địa và lập hồ sơ quản lý dữ liệu bằng hệ thống thông tin địa lý (GIS) quy hoạch chung xây dựng xã Văn Lang, huyện Na Rì giai đoạn 2021-2030</t>
  </si>
  <si>
    <t>xã Văn Lang</t>
  </si>
  <si>
    <t>Nguồn thu trong năm</t>
  </si>
  <si>
    <t xml:space="preserve">Cải tạo, nâng cấp đường Nặm Thiếu - Bản Sảng, liên xã Văn Lang -  thị trấn Yến Lạc, huyện Na Rì </t>
  </si>
  <si>
    <t>Thường xuyên</t>
  </si>
  <si>
    <t xml:space="preserve">Trả nợ cấp giấy </t>
  </si>
  <si>
    <t>Phòng Tài nguyên &amp;MT</t>
  </si>
  <si>
    <t>Cấp giấy chứng nhận quyền sử dụng đất</t>
  </si>
  <si>
    <t>Tiền sử dụng đất còn lại chuyển 2024</t>
  </si>
  <si>
    <t>Đã chi chuyển nguồn TKC</t>
  </si>
  <si>
    <t>Chuyển nguồn công trình</t>
  </si>
  <si>
    <t>Để kết dư ngân sách</t>
  </si>
  <si>
    <t>Phụ biểu số 04</t>
  </si>
  <si>
    <t>Số báo cáo/ phân bổ</t>
  </si>
  <si>
    <t>Chênh lệch</t>
  </si>
  <si>
    <t>KP CCTL năm 2022 chuyển sang</t>
  </si>
  <si>
    <t xml:space="preserve"> Chuyển nguồn ngân sách cấp huyện</t>
  </si>
  <si>
    <t xml:space="preserve">Quyết định số /QĐ-UBND ngày </t>
  </si>
  <si>
    <t xml:space="preserve"> Chuyển nguồn ngân sách cấp xã</t>
  </si>
  <si>
    <t xml:space="preserve">KP CCTL bố trí trong năm </t>
  </si>
  <si>
    <t xml:space="preserve">Quyết định số 4388/QĐ-UBND ngày </t>
  </si>
  <si>
    <t>Sở Tài chính cấp KP CCTL trong năm</t>
  </si>
  <si>
    <t>QĐ  2343/QĐ-UBND ngày 12/12/2023 của UBND tỉnh Bắc Kạn</t>
  </si>
  <si>
    <t>Hoàn trả nguồn cải cách tiền lương</t>
  </si>
  <si>
    <t>QĐ  5993/QĐ-UBND ngày 29/12/2023 của UBND huyện Na Rì</t>
  </si>
  <si>
    <t>70% Tăng thu ngân sách</t>
  </si>
  <si>
    <t>70% Tăng thu ngân sách huyện</t>
  </si>
  <si>
    <t>70% Tăng thu ngân sách xã</t>
  </si>
  <si>
    <t xml:space="preserve">Tổng nguồn KP CCTL có trong năm </t>
  </si>
  <si>
    <t>Đã phân bổ sử dụng và quyết toán</t>
  </si>
  <si>
    <t>Phân bổ kinh phí thực hiện mức lương cơ sở đợt 1</t>
  </si>
  <si>
    <t>QĐ 2844/QĐ-UBND ngày 22/9/2023 của UBND huyện Na Rì</t>
  </si>
  <si>
    <t>Phân bổ kinh phí thực hiện mức lương cơ sở đợt 2</t>
  </si>
  <si>
    <t>QĐ 5794/QĐ-UBND ngày 18/12/2023 của UBND huyện Na Rì</t>
  </si>
  <si>
    <t xml:space="preserve">Cấp xã phân bổ kinh phí thực hiện mức lương cơ sở </t>
  </si>
  <si>
    <t>KP CCTL còn lại chuyển 2023</t>
  </si>
  <si>
    <t>Đã chi chuyển nguồn NS cấp huyện</t>
  </si>
  <si>
    <t>Quyết định số 1347/QĐ-UBND ngày 13/5/2024</t>
  </si>
  <si>
    <t>Đã chi chuyển nguồn NS cấp xã</t>
  </si>
  <si>
    <t>Đã chi chuyển nguồn tại các đơn vị</t>
  </si>
  <si>
    <t>Để kết dư NS cấp huyện</t>
  </si>
  <si>
    <t>Để kết dư NS cấp xã</t>
  </si>
  <si>
    <t>Để dư tại các đơn vị dự toán</t>
  </si>
  <si>
    <t>Phụ biểu số 01</t>
  </si>
  <si>
    <t>Đơn vị tính:  đồng</t>
  </si>
  <si>
    <t>Tỉnh giao</t>
  </si>
  <si>
    <t xml:space="preserve">Huyện phân bổ </t>
  </si>
  <si>
    <t>Còn dư</t>
  </si>
  <si>
    <t xml:space="preserve">Chi tiết theo nội dung </t>
  </si>
  <si>
    <t>Số văn bản/ ngày tháng năm</t>
  </si>
  <si>
    <t>Bổ sung mục tiêu đầu năm</t>
  </si>
  <si>
    <t>Hỗ trợ đưa người lao động đi làm việc ở nước ngoài</t>
  </si>
  <si>
    <t>Hỗ trợ thực hiện CT phát triển lâm nghiệp bền vững</t>
  </si>
  <si>
    <t>Cấp bổ sung kinh phí cho UBND các xã, thị trấn để thực hiện CT phát triển lâm nghiệp bền vững năm 2023</t>
  </si>
  <si>
    <t>Ngân sách tỉnh đối ứng thực hiện CTMTQG</t>
  </si>
  <si>
    <t xml:space="preserve">Dân tộc thiểu số </t>
  </si>
  <si>
    <t>Phân bổ kinh phí thực hiện Chương trình MTQG dân tộc thiểu số năm 2023</t>
  </si>
  <si>
    <t>Phân bổ kinh phí thực hiện Chương trình MTQG dân tộc thiểu số năm 2023 (lần 1)</t>
  </si>
  <si>
    <t>Phân bổ kinh phí thực hiện Chương trình MTQG dân tộc thiểu số năm 2023 (lần 2)</t>
  </si>
  <si>
    <t>Vốn SN</t>
  </si>
  <si>
    <t>Cấp kinh phí thực hiện Chương trình MTQG dân tộc thiểu số năm 2023</t>
  </si>
  <si>
    <t>Giảm nghèo bền vững - Vốn SN</t>
  </si>
  <si>
    <t>Cấp kinh phí thực hiện Chương trình MTQG Giảm nghèo bền vững năm 2023</t>
  </si>
  <si>
    <t>Phân bổ kinh phí thực hiện Chương trình MTQG Nông thôn mới năm 2023</t>
  </si>
  <si>
    <t>Cấp kinh phí thực hiện Chương trình MTQG Nông thôn mới năm 2023</t>
  </si>
  <si>
    <t>Nguồn NS địa phương cân đối cấp tỉnh hỗ trợ thực hiện CT NTM</t>
  </si>
  <si>
    <t>V/v điều chỉnh, phân bổ kế hoạch đầu tư công năm 2023 (nguồn ngân sách địa phương) cấp huyện điều hành (lần 1)</t>
  </si>
  <si>
    <t>Ngân sách Trung ương thực hiện CTMTQG</t>
  </si>
  <si>
    <t>7.2</t>
  </si>
  <si>
    <t>Giảm nghèo bền vững (Vốn SN)</t>
  </si>
  <si>
    <t>7.3</t>
  </si>
  <si>
    <t>CẤP BỔ SUNG TRONG NĂM</t>
  </si>
  <si>
    <t>Về việc phân bổ và giao dự toán kinh phí sự nghiệp thực hiện Chương trình mục tiêu quốc gia phát triển kinh tế - xã hội vùng đồng bào dân tộc thiểu số và miền núi nguồn năm 2022 và 2023 chưa phân bổ</t>
  </si>
  <si>
    <t xml:space="preserve">Ngân sách Trung ương </t>
  </si>
  <si>
    <t>24/3/2023</t>
  </si>
  <si>
    <t>Về việc phân bổ và giao kinh phí sự nghiệp thực hiện Chương trình MTQG PTKT-XH vùng đồng bào dân tộc thiểu số và miền núi năm 2023 (NSTW)</t>
  </si>
  <si>
    <t>18/7/2023</t>
  </si>
  <si>
    <t>Về việc phân bổ và giao kinh phí sự nghiệp thực hiện Chương trình MTQG PTKT-XH vùng đồng bào dân tộc thiểu số và miền núi năm 2023 (lần 2) (NSTW)</t>
  </si>
  <si>
    <t>Ngân sách Địa phương</t>
  </si>
  <si>
    <t>Về việc phân bổ và giao kinh phÍ sự nghiệp thực hiện Chương trình MTQG PTKT-XH vùng đồng bào dân tộc thiểu số và miền núi năm 2023 (NSĐP)</t>
  </si>
  <si>
    <t>Về việc phân bổ và giao kinh phí sự nghiệp thực hiện Chương trình MTQG PTKT-XH vùng đồng bào dân tộc thiểu số và miền núi năm 2023 (lần 2)(NSĐP)</t>
  </si>
  <si>
    <t>Về việc trợ cấp và cấp bổ sung kinh phí trợ cấp Dân quân không tham gia bảo hiểm xã hội bị tai nạn</t>
  </si>
  <si>
    <t>06/4/2023</t>
  </si>
  <si>
    <t>Về việc cấp bổ sung cho UBND xã Văn Lang để thực hiện trợ cấp cho Dân quân không tham gia bảo hiểm xã hội bị tai nạn</t>
  </si>
  <si>
    <t>Quyết định số 773/QĐ-UBND ngày 08/5/2023 của UBND tỉnh Bắc Kạn về việc phân bổ và giao dự toán kinh phí sự nghiệp cho các đơn vị, địa phương thực hiện nhiệm vụ năm 2023 (bổ sung lần 2)</t>
  </si>
  <si>
    <t>Thực hiện nhiệm vụ</t>
  </si>
  <si>
    <t xml:space="preserve"> Chuyển đổi số </t>
  </si>
  <si>
    <t>Về việc cấp bổ sung cho UBND các xã, thị trấn thực hiện nhiệm vụ</t>
  </si>
  <si>
    <t>KP đào tạo, bồi dưỡng NQ 16/2022/NQ-HĐND tỉnh</t>
  </si>
  <si>
    <t>Về việc cấp bổ sung cho Phòng GD&amp;ĐT thực hiện nhiệm vụ</t>
  </si>
  <si>
    <t>Chương trình giảm nghèo</t>
  </si>
  <si>
    <t>Về việc phân bổ kinh phí sự nghiệp thực hiện Chương trình MTQG giảm nghèo bền vững năm 2023 (lần 1)</t>
  </si>
  <si>
    <t>Ngân sách cấp tỉnh</t>
  </si>
  <si>
    <t>Chương trình Nông thôn mới</t>
  </si>
  <si>
    <t xml:space="preserve">Chương trình DT thiểu số </t>
  </si>
  <si>
    <t>Vv phân bổ và giao kinh phí sự nghiệp thực hiện Chương trình MTQG PTKT-XH vùng đồng bào dân tộc thiểu số và miền núi năm 2023 (lần 2)</t>
  </si>
  <si>
    <t>Quyết định số 1031/QĐ-UBND ngày 13/6/2023 của UBND tỉnh Bắc Kạn về việc phân bổ và giao dự toán kinh phí sự nghiệp cho các đơn vị, địa phương thực hiện nhiệm vụ năm 2023 (bổ sung lần 3)</t>
  </si>
  <si>
    <t>Xã hội học tâp</t>
  </si>
  <si>
    <t>KP thực hiện các dự án liên kết trong sản xuất và tiêu thụ sản phẩm</t>
  </si>
  <si>
    <t>Về việc phân bổ chi tiết kinh phí để hỗ trợ thực hiện các dự án liên kết trong sản xuất và tiêu thụ sản phẩm nông nghiệp trên địa bàn huyện Na Rì năm 2023</t>
  </si>
  <si>
    <t>KP thực hiện NĐ 108/NĐ-CP</t>
  </si>
  <si>
    <t>về việc phân bổ và giao dự toán kinh phí sự nghiệp cho các đơn vị, địa phương thực hiện nhiệm vụ năm 2023 (bổ sung lần 4)</t>
  </si>
  <si>
    <t>Về việc cấp bổ sung kinh phí cho Phòng Giáo dục và Đào tạo thực hiện mua sắm bổ sung thiết bị dạy học tối thiểu, đồ dùng, đồ chơi năm 2023</t>
  </si>
  <si>
    <t xml:space="preserve"> Về việc cấp bổ sung kinh phí cho UBND các huyện thành phố để thực hiện nhiệm vụ từ nguồn tăng thu, tiết kiệm chi năm 2022 đã chuyển nguồn sang năm năm 2023 (đợt 2)</t>
  </si>
  <si>
    <t>Về việc cấp bổ sung kinh phí cho Phòng Lao động Thương binh &amp; Xã hội thực hiện chính sách theo Nghị quyết số 20/2022/NQ-HĐND ngày 10/12/2022 của HĐND tỉnh trên địa bàn huyện Na Rì năm 2023</t>
  </si>
  <si>
    <t>Về việc phân bổ và giao dự toán kinh phí sự nghiệp cho các đơn vị, địa phương thực hiện nhiệm vụ (bổ sung lần 5)</t>
  </si>
  <si>
    <t>Về việc cấp bổ sung kinh phí cho UBND các xã thực hiện chế độ, chính sách năm 2023</t>
  </si>
  <si>
    <t>Quyết định số 2071/QĐ-UBND ngày 10/11/2023 của UBND tỉnh Bắc Kạn về việc cấp bổ sung kinh phí cho các đơn vị, địa phương để thực hiện nhiệm vụ năm 2023</t>
  </si>
  <si>
    <t>Về việc cấp kinh phí cho UBND các xã, thị trấn thực hiện hỗ trợ đối với cây trồng để khôi phục sản xuất vùng bị thiệt hại do thiên tai trên địa bàn huyện năm 2023</t>
  </si>
  <si>
    <t>Về việc cấp bổ sung kinh phí để thực hiện chính sách hỗ trợ theo Nghị quyết số 05/2020/NQ-HĐND  ngày 05/5/2020 của Hội đồng nhân dân tỉnh đối với cán bộ, công chcứ xã nghỉ hưu trước tuổi, thôi việc đợt 15</t>
  </si>
  <si>
    <t>Về việc phân bổ và giao dự toán kinh phí sự nghiệp cho các đơn vị, địa phương thực hiện nhiệm vụ (bổ sung lần 6)</t>
  </si>
  <si>
    <t xml:space="preserve">Thực hiện Nghị định 29/2023 </t>
  </si>
  <si>
    <t>Về việc phân bổ kinh phí cho các đơn vị, UBND các xã, thị trấn để thực hiện mức lương cơ sở theo Nghị định số 24/2023/NĐ-CP (đợt 2); chính sách an sinh xã hội còn thiếu năm 2023</t>
  </si>
  <si>
    <t xml:space="preserve">Chính sách miễn, giảm học phí, hỗ trợ chi phí học tập theo Nghị định số 81/2021/NĐ-CP ngày 27/8/2021 của Chính phủ </t>
  </si>
  <si>
    <t xml:space="preserve">Chính sách hỗ trợ học sinh bán trú và trường phổ thông theo Nghị định 116/2016/NĐ-CP ngày 18/7/2016 của Chính phủ </t>
  </si>
  <si>
    <t>Học bổng cho học sinh dân tộc nội trú theo Thông tư liên tịch số 109/2009/TTLT-BTC-BGDĐT ngày 29/05/2009  của Liên Bộ, Bộ Tài chính, Bộ Giáo dục và Đào tạo</t>
  </si>
  <si>
    <t>Kinh phí hỗ trợ giáo viên dạy học sinh khuyết tật theo Nghị định số 113/2015/NĐ-CP ngày 9/11/2015 của Chính phủ</t>
  </si>
  <si>
    <t xml:space="preserve">Kinh phí bổ nhiệm chức danh nghề nghiệp sự nghiệp giáo dục </t>
  </si>
  <si>
    <t>Về việc điều chỉnh kế hoạch đầu tư công năm 2023 (lần 6) và kế hoạch vốn đầu tư công năm 2022 kéo dài thời gian thực hiện và giải ngân sang năm 2023 thực hiện các Chương trình mục tiêu quốc gia trên địa bàn tỉnh Bắc Kạn</t>
  </si>
  <si>
    <t>Về việc cấp bổ sung kinh phí cho UBND huyện Na Rì thực hiện chính sách hỗ trợ theo Nghị quyết số 05/2020/NQ-HĐND ngày 05/5/2020 của Hội đồng nhân dân tỉnh đối với cán bộ, công chức cấp xã nghỉ hưu trước tuổi, thôi việc đợt 16;</t>
  </si>
  <si>
    <t>Về việc cấp bổ sung kinh phí cho UBND xã Cường Lợi thực hiện chính sách hỗ trợ theo Nghị quyết số 05/2020/NQ-HĐND ngày 05/5/2020 của Hội đồng nhân dân tỉnh đối với cán bộ, công chức cấp xã nghỉ hưu trước tuổi, thôi việc năm 2023</t>
  </si>
  <si>
    <t>Về việc cấp bổ sung kinh phí cho các đơn vị địa phương để thực hiện nhiệm vụ năm 2023</t>
  </si>
  <si>
    <t>Về việc cấp kinh phí để hỗ trợ thực hiện các dự án liên kết trong sản xuất và tiêu thụ sản phẩm nông nghiệp trên địa bàn huyện Na Rì năm 2023 (lần 2)</t>
  </si>
  <si>
    <t>Về việc cấp bổ sung kinh phí cho các đơn vị, địa phương để thực hiện nhiệm vụ năm 2023</t>
  </si>
  <si>
    <t>Về việc cấp bổ sung kinh phí cho UBND các xã, thị trấn để thực hiện nhiệm vụ năm 2023</t>
  </si>
  <si>
    <t>THU  HỒI TRONG NĂM</t>
  </si>
  <si>
    <t>Về việc thu hồi nguồn kinh phí thực hiện các chương trình, nhiệm vụ năm 2023 còn dư, không thực hiện được của UBND các huyện, thành phố về ngân sách cấp tỉnh (268)</t>
  </si>
  <si>
    <t>Nộp trả kinh phí quản lý, bảo trì đường bộ địa phương năm 2023</t>
  </si>
  <si>
    <t>Chính sách hỗ trợ chi phí học tập và miễn giảm học phí cho học sinh phổ thông và cao đẳng đại học theo Nghị định 81/2021/NĐ-CP ngày 27/8/2021 của Chính phủ</t>
  </si>
  <si>
    <t>Nộp trả Chính sách hỗ trợ chi phí học tập và miễn giảm học phí cho học sinh phổ thông và cao đẳng đại học theo Nghị định 81/2021/NĐ-CP ngày 27/8/2021 của Chính phủ</t>
  </si>
  <si>
    <t>Kinh phí đào tạo, bồi dưỡng giáo viên trên địa bàn tỉnh theo Nghị quyết số 16/2022/NQ-HĐND ngày 18/10/2022 của HĐND tỉnh</t>
  </si>
  <si>
    <t xml:space="preserve">Kinh phí xây dựng xã hội học tập </t>
  </si>
  <si>
    <t xml:space="preserve">Nộp trả kinh phí xây dựng xã hội học tập </t>
  </si>
  <si>
    <t>Kinh phí mua sắm thiết bị trường học năm 2023</t>
  </si>
  <si>
    <t>Nộp trả kinh  phí mua sắm thiết bị trường học năm 2023</t>
  </si>
  <si>
    <t>Kinh phí  thực hiện chính sách trợ giúp xã hội theo Nghị quyết số 20/2022/NQ-HĐND ngày 10/12/2022 của HĐND tỉnh năm 2023 trên địa bàn tỉnh Bắc Kạn</t>
  </si>
  <si>
    <t>Nộp trả kinh  phí  thực hiện chính sách trợ giúp xã hội theo Nghị quyết số 20/2022/NQ-HĐND ngày 10/12/2022 của HĐND tỉnh năm 2023 trên địa bàn tỉnh Bắc Kạn</t>
  </si>
  <si>
    <t>Về việc thu hồi nguồn kinh phí thực hiện các chương trình, nhiệm vụ năm 2023 còn dư, không thực hiện được của các đơn vị, địa phương về ngân sách cấp tỉnh đợt 2 </t>
  </si>
  <si>
    <t>Nộp trả kinh phí mua sắm thiết bị trường học năm 2023</t>
  </si>
  <si>
    <t>186a</t>
  </si>
  <si>
    <t xml:space="preserve">Về việc thu hồi về ngân sách cấp tỉnh số dư kinh phí sự nghiệp năm 2023 của một số dự án, tiểu dự án, nội dung thành phần thuộc Chương trình mục tiêu quốc gia xây dựng nông thôn mới và Chương trình mục tiêu quốc gia phát triển kinh tế - xã hội vùng đồng bào dân tộc thiểu số và miền núi </t>
  </si>
  <si>
    <t>Tiểu dự án 2, DA 3: Hỗ trợ phát triển sản xuất theo chuỗi giá trị, vùng trồng dược liệu quý, thúc đẩy khởi sự kinh doanh, khởi nghiệp và thu hút đầu tư vùng đồng bào dân tộc thiểu số và miền núi</t>
  </si>
  <si>
    <t xml:space="preserve">Nộp trả Chương trình mục tiêu quốc gia phát triển kinh tế - xã hội vùng đồng bào dân tộc thiểu số và miền núi </t>
  </si>
  <si>
    <t>Nội dung thành phần số 02: Phát triển hạ tầng kinh tế - xã hội, cơ bản đồng bộ, hiện đại, đảm bảo kết nối nông thôn - đô thị và kết nối các vùng miền</t>
  </si>
  <si>
    <t xml:space="preserve">Nộp trả Chương trình mục tiêu quốc gia xây dựng nông thôn mới </t>
  </si>
  <si>
    <t>Phụ biểu số 02</t>
  </si>
  <si>
    <t>Dự phòng năm 2022 chuyển sang</t>
  </si>
  <si>
    <t xml:space="preserve">Dự phòng giao trong DT đầu năm </t>
  </si>
  <si>
    <t>Bổ sung nguồn dự phòng trong năm</t>
  </si>
  <si>
    <t>Cấp bổ sung thực hiện nhiệm vụ</t>
  </si>
  <si>
    <t>2071/QĐ-UBND ngày 10/11/2023</t>
  </si>
  <si>
    <t xml:space="preserve">Cấp bổ sung thực hiện nhiệm vụ </t>
  </si>
  <si>
    <t>2501/QĐ-UBND ngày 2/12/2023</t>
  </si>
  <si>
    <t>Tổng nguồn dự phòng 2023</t>
  </si>
  <si>
    <t>Hỗ trợ kinh phí diễn tập chiến đấu phòng thủ năm 2023</t>
  </si>
  <si>
    <t>2386/QĐ-UBND ngày 20/9/2023</t>
  </si>
  <si>
    <t xml:space="preserve">UBND xã Văn Lang </t>
  </si>
  <si>
    <t>Cấp bổ sung kinh phí thực hiện hỗ trợ đối với cây trồng để khôi phục sản xuất vùng bị thiệt hại do thiên tai trên địa huyện năm 2023</t>
  </si>
  <si>
    <t>5675/QĐ-UBND ngày 04/12/2023</t>
  </si>
  <si>
    <t>UBND xã Liêm Thuỷ</t>
  </si>
  <si>
    <t xml:space="preserve">UBND xã Xuân Dương </t>
  </si>
  <si>
    <t xml:space="preserve">UBND thị trấn Yến Lạc </t>
  </si>
  <si>
    <t>6078/QĐ-UBND ngày 31/12/2023</t>
  </si>
  <si>
    <t>Kè khắc phục sạt lở đất tại Tổ nhân dân Pàn Chầu, thị trấn Yến Lạc,  huyện Na Rì</t>
  </si>
  <si>
    <t>1331/QĐ-UBND ngày 05/5/2023</t>
  </si>
  <si>
    <t>Ban Quản lý các dự án</t>
  </si>
  <si>
    <t>5468/QĐ-UBND ngày 15/11/2023; 5597/QĐ-UBND ngày 29/11/2023</t>
  </si>
  <si>
    <t>Dự phòng còn lại chuyển 2024</t>
  </si>
  <si>
    <t>Đã chi chuyển nguồn (tiết kiệm chi)</t>
  </si>
  <si>
    <t>Để kết dư ngân sách huyện</t>
  </si>
  <si>
    <t>Để kết dư ngân sách xã</t>
  </si>
  <si>
    <t>THUYẾT MINH CẤP LỆNH CHI THỰC HIỆN KINH PHÍ HỖ TRỢ NGOÀI NHIỆM VỤ PHÂN CẤP NĂM 2023 (CẤP HUYỆN)</t>
  </si>
  <si>
    <t>THUYẾT MINH KẾT QUẢ THỰC HIỆN THU, CHI TIỀN SỬ DỤNG ĐẤT NĂM 2023 (CẤP HUYỆN)</t>
  </si>
  <si>
    <t>Nguồn tăng thu, tiết kiệm chi thu tiền sử dụng đất năm 2022</t>
  </si>
  <si>
    <t>Phụ biểu số 03</t>
  </si>
  <si>
    <t>THUYẾT MINH THỰC HIỆN KINH PHÍ CẢI CÁCH TIỀN LƯƠNG NĂM 2023</t>
  </si>
  <si>
    <t>Quyết định số 1347/QĐ-UBND ngày 13/5/2024; 1645/QĐ-UBND ngày 06/6/2024</t>
  </si>
  <si>
    <t xml:space="preserve"> UBND Tỉnh, huyện ngày, tháng, năm</t>
  </si>
  <si>
    <t>BIỂU TỔNG HỢP TÌNH HÌNH THỰC HIỆN KINH PHÍ TỈNH CẤP BỔ SUNG CÓ MỤC TIÊU VÀ HUYỆN PHÂN BỔ NĂM 2023</t>
  </si>
  <si>
    <t>THUYẾT MINH THỰC HIỆN KINH PHÍ DỰ PHÒNG NGÂN SÁCH CẤP HUYỆN NĂM 2023</t>
  </si>
  <si>
    <t>Phụ biểu số 05</t>
  </si>
  <si>
    <t>ĐVT: triệu đồng</t>
  </si>
  <si>
    <t>Cấp Huyện</t>
  </si>
  <si>
    <t>Dự toán thu ngân sách địa phương năm 2023 (Dự toán  tỉnh giao)</t>
  </si>
  <si>
    <t>Trong đó, các khoản loại trừ không tính tăng thu</t>
  </si>
  <si>
    <t>Thu xổ số</t>
  </si>
  <si>
    <t>Ghi thu ghi chi</t>
  </si>
  <si>
    <t>Thu hoa lợi, công sản tại xã</t>
  </si>
  <si>
    <t>Dự toán sau loại trừ các khoản không tính tăng thu</t>
  </si>
  <si>
    <t xml:space="preserve">Thực hiện thu ngân sách địa phương năm 2023 </t>
  </si>
  <si>
    <t>Kết dư 2022</t>
  </si>
  <si>
    <t>Thu kết dư 2022 xã</t>
  </si>
  <si>
    <t>Thu năm 2023</t>
  </si>
  <si>
    <t>Thu lãi từ các khoản cho vay</t>
  </si>
  <si>
    <t>Phí bảo vệ môi trường đối với khai thác khoáng sản</t>
  </si>
  <si>
    <t>Thu hồi các khoản chi năm trước</t>
  </si>
  <si>
    <t>Thực hiện thu ngân sách địa phương năm 2023 sau khi loại trừ các khoản không tính tăng thu</t>
  </si>
  <si>
    <t>Tăng thu ngân sách địa phương không kể thu tiền sử dụng đất, thu tại xã và các khoản thu quản lý qua ngân sách nhà nước năm 2023</t>
  </si>
  <si>
    <t>70% tăng thu ngân sách địa phương năm 2023</t>
  </si>
  <si>
    <t>HỤT THU</t>
  </si>
  <si>
    <t>TĂNG THU</t>
  </si>
  <si>
    <t>70% làm nguồn cải cách tiền lương</t>
  </si>
  <si>
    <t>30% chi đầu tư</t>
  </si>
  <si>
    <t xml:space="preserve">Làm tròn số </t>
  </si>
  <si>
    <t>70 % Nguồn cải cách tiền lương</t>
  </si>
  <si>
    <t>Nguồn tăng thu</t>
  </si>
  <si>
    <t>Phụ lục số 06</t>
  </si>
  <si>
    <t>Quyết toán chi bổ sung từ ngân sách cấp huyện cho ngân sách từng xã năm 2023</t>
  </si>
  <si>
    <t>Phụ biểu 01</t>
  </si>
  <si>
    <t>Phụ biểu 02</t>
  </si>
  <si>
    <t>Phụ biểu 03</t>
  </si>
  <si>
    <t>Phụ biểu 04</t>
  </si>
  <si>
    <t>Phụ biểu 05</t>
  </si>
  <si>
    <t>Phụ biểu 06</t>
  </si>
  <si>
    <t>Thuyết minh kết quả thực hiện thu, chi tiền sử dụng đất năm 2024</t>
  </si>
  <si>
    <t xml:space="preserve">Hỗ trợ học sinh bán trú và Trường PT dân tộc bán trú NĐ116/2016 </t>
  </si>
  <si>
    <t xml:space="preserve">THUYẾT MINH SỐ LIỆU TĂNG THU/HỤT THU NGÂN SÁCH NĂM 2023 CẤP HUYỆN </t>
  </si>
  <si>
    <t xml:space="preserve">Nội dung thành phần số 06: Nâng cao chất lượng đời sống văn hóa nông thôn; bảo tồn và phát huy các giá trị văn hóa truyền thống gắn với phát triển du lịch nông thôn </t>
  </si>
  <si>
    <t>Nội dung thành phần số 07: Nâng cao chất lượng môi trường, xây dựng cảnh quan nông thôn sáng-xanh-sạch-đẹp, an toàn; giữ gìn và khôi phục cảnh quan truyền thống nông thôn</t>
  </si>
  <si>
    <t>Nội dung thành phần số 09: Nâng cao chất lượng, phát huy vai trò của mặt trận tổ quốc Việt Nam và các tổ chức chính trị xã hội trong xây dựng nông thôn mới</t>
  </si>
  <si>
    <t>Tiểu dự án 1:  Phát triển giáo dục nghề nghiệp, vùng  nghèo, vùng khó khăn  (Nội dung Hỗ trợ một số cơ sở giáo dục nghề nghiệp công lập trên địa bàn tỉnh)</t>
  </si>
  <si>
    <t>Tiểu dự án 1:  Phát triển giáo dục nghề nghiệp, vùng  nghèo, vùng khó khăn  (nội dung Hỗ trợ đào tạo nghề cho người lao động thuộc hộ nghèo, hộ cận nghèo, hộ mới thoát nghèo; người có thu nhập thấp)</t>
  </si>
  <si>
    <t>Điểu chỉnh thực hiện cơ chế đặc thù</t>
  </si>
  <si>
    <t>Điều chỉnh theo cơ chế đặc thù</t>
  </si>
  <si>
    <t xml:space="preserve">Tăng </t>
  </si>
  <si>
    <t>Giảm</t>
  </si>
  <si>
    <t xml:space="preserve">Kinh phí cho các huyện để thực hiện chính sách đối với các trường PTDT nội trú </t>
  </si>
  <si>
    <t>Kinh phí thực hiện nhiệm vụ (mua sắm trang thiết bị giáo dục 2024)</t>
  </si>
  <si>
    <t>Kinh phí hỗ trợ khẩn cấp khắc phục hậu quả thiệt hại do cơn bão số 3 trên địa bàn tỉnh Bắc Kạn</t>
  </si>
  <si>
    <t>Nguồn dự phòng NSTW  hỗ trợ khẩn cấp khắc phục hậu quả thiệt hại do cơn bão số 3 trên địa bàn tỉnh Bắc Kạn</t>
  </si>
  <si>
    <t>Kinh phí hỗ trợ người chăn nuôi bị thiệt hại do bệnh Dịch tả lợn Châu Phi và bệnh Viêm da nổi cục năm 2024</t>
  </si>
  <si>
    <t xml:space="preserve">Kinh phí quản lý, bảo trì đường bộ cho các quỹ bảo trì đường bộ địa phương </t>
  </si>
  <si>
    <t xml:space="preserve">Kinh phí cho các địa phương để thực hiện chính sách đối với các đối tượng tinh giản biên chế theo Nghị định số 108/2014/NĐ-CP, Nghị định số 113/2018/NĐ-CP; Nghị định số 143/2020/NĐ-CP và NĐ 29/2023/NĐ-CP của Chính phủ </t>
  </si>
  <si>
    <t>Kinh phí xã hội học tập</t>
  </si>
  <si>
    <t>Nguồn hỗ trợ quy hoạch điểm dân cư nông thôn</t>
  </si>
  <si>
    <t>Nguồn phân cấp huyện điều hành</t>
  </si>
  <si>
    <t>Nguồn dự phòng 2024</t>
  </si>
  <si>
    <t>Nguồn  tiết kiệm chi tỉnh hỗ trợ hạ tầng nông thôn mới</t>
  </si>
  <si>
    <t xml:space="preserve">Cấp xã </t>
  </si>
  <si>
    <t>Kinh phí thực hiện Nghị quyết của HĐND tỉnh quy định chức danh, mức phụ cấp, việc kiêm nhiệm người hoạt động không chuyên trách ở cấp xã, ở thôn, tổ</t>
  </si>
  <si>
    <t>Kinh phí mua sắm trang thiết bị giáo dục (Trung tâm Giáo dục NN-GDTX)</t>
  </si>
  <si>
    <t>Nguồn cải cách tiền lương (bao gồm xác định 70% nguồn kết dư năm 2023 làm nguồn CCTL)</t>
  </si>
  <si>
    <t>Xác định nguồn tăng thu tiết kiệm chi 2024 để chuyển nguồn</t>
  </si>
  <si>
    <t>Nguồn tiết kiệm chi năm 2023 (xã)</t>
  </si>
  <si>
    <t>Kinh phí cho các đơn vị cấp tỉnh, UBND các huyện để thực hiện nhiệm vụ năm 2024  (Hỗ trợ người được phân công trực tiếp giúp đỡ người giáo dục tại xã, phường, thị trấn theo NQ 11/2023/NQ-HĐND tỉnh)</t>
  </si>
  <si>
    <t>Vốn giao năm 2022, 2023,2024</t>
  </si>
  <si>
    <t>Nguồn tỉnh hỗ trợ thực hiện chương trình Nông thôn mới</t>
  </si>
  <si>
    <t>Nguồn tiết kiệm chi năm 2023 (chuyển 83.558.300đ theo dõi TKC năm 2024)</t>
  </si>
  <si>
    <t>Kinh phí mua BHYT cho cựu chiến binh, thanh niên xung phong, đối tượng tham gia kháng chiến Lào. Cam puchia</t>
  </si>
  <si>
    <t>Vốn thường xuyên - Trả nợ cấp giấy, Cấp giấy CNQSD đất</t>
  </si>
  <si>
    <t>Nguồn dự phòng cấp huyện</t>
  </si>
  <si>
    <t>Tên xã, thị trấn</t>
  </si>
  <si>
    <r>
      <t xml:space="preserve">Hỗ trợ chi phí học tập và miễn giảm học phí theo Nghị định 81/2021/NĐ-CP </t>
    </r>
    <r>
      <rPr>
        <i/>
        <sz val="6"/>
        <color theme="1"/>
        <rFont val="Times New Roman"/>
        <family val="1"/>
      </rPr>
      <t>-QT STC</t>
    </r>
  </si>
  <si>
    <t xml:space="preserve">Hỗ trợ chi phí học tập và miễn giảm học phí theo Nghị định 81/2021/NĐ-CP </t>
  </si>
  <si>
    <t xml:space="preserve">Chi đầu tư khác (Dư đầu năm chưa phân bổ) </t>
  </si>
  <si>
    <t>Na Rì, ngày 02 tháng 5 năm 2025</t>
  </si>
  <si>
    <r>
      <t xml:space="preserve">Giảm trừ trong năm, kinh phí giữ lại </t>
    </r>
    <r>
      <rPr>
        <sz val="12"/>
        <color theme="1"/>
        <rFont val="Times New Roman"/>
        <family val="1"/>
      </rPr>
      <t>(nếu có)</t>
    </r>
  </si>
  <si>
    <t>Kế hoạch năm 2025</t>
  </si>
  <si>
    <t>Dư nguồn đến ngày 31/12/2024</t>
  </si>
  <si>
    <t>Quỹ Đền ơn đáp nghĩa</t>
  </si>
  <si>
    <t>Quỹ Ban cứu trợ</t>
  </si>
  <si>
    <t>Quyết định đầu tư ban đầu</t>
  </si>
  <si>
    <t xml:space="preserve">Tổng mức đầu tư </t>
  </si>
  <si>
    <t xml:space="preserve">Tổng mức đầu tư được duyệt </t>
  </si>
  <si>
    <t>CTMTQG</t>
  </si>
  <si>
    <t>CT MT QG</t>
  </si>
  <si>
    <t>CTMT QG</t>
  </si>
  <si>
    <t>Thuyết minh quyết toán thu - chi ngân sách năm 2024</t>
  </si>
  <si>
    <t>Thuyết minh số liệu tăng thu, hụt thu cân đối ngân sách năm 2024 cấp huyện</t>
  </si>
  <si>
    <t>Thuyết minh thực hiện kinh phí dự phòng ngân sách cấp huyện năm 2024</t>
  </si>
  <si>
    <t>Quyết toán chi ngân sách cấp huyện theo lĩnh vực năm 2024</t>
  </si>
  <si>
    <t>Quyết toán chi ngân sách địa phương, chi ngân sách cấp huyện và xã theo cơ cấu năm 2024</t>
  </si>
  <si>
    <t>Quyết toán chi ngân sách cấp huyện cho từng cơ quan, tổ chức theo lĩnh vực năm 2024</t>
  </si>
  <si>
    <t>Quyết toán chi đầu tư phát triển của ngân sách cấp huyện cho từng cơ quan, tổ chức theo lĩnh vực năm 2024</t>
  </si>
  <si>
    <t>Quyết toán chi thường xuyên của ngân sách cấp huyện cho từng cơ quan, tổ chức theo lĩnh vực năm 2024</t>
  </si>
  <si>
    <t>Quyết toán chi thường xuyên của ngân sách cấp huyện cho từng cơ quan, tổ chức theo từng nguồn vốn năm 2024</t>
  </si>
  <si>
    <t>Quyết toán chi ngân sách địa phương cho từng xã năm 2024</t>
  </si>
  <si>
    <t>Biểu tổng hợp tình hình thực hiện kinh phí tỉnh cấp bổ sung có mục tiêu và huyện phân bổ năm 2024</t>
  </si>
  <si>
    <t>Thuyết minh thực hiện kinh phí cải cách tiền lương năm 2024</t>
  </si>
  <si>
    <t>Thuyết minh cấp lệnh chi thực hiện hỗ trợ ngoài nhiệm vụ phân cấp năm 2024</t>
  </si>
  <si>
    <t>Quyết toán chi chương trình mục tiêu quốc gia, chương trình mục tiêu, nhiệm vụ khác năm 2024</t>
  </si>
  <si>
    <t>Thuyết minh kết dư ngân sách huyện năm 2024</t>
  </si>
  <si>
    <t>Báo cáo chi chuyển nguồn sang năm sau năm 2024</t>
  </si>
  <si>
    <t>Báo cáo tình hình kiểm toán, thanh tra năm 2024</t>
  </si>
  <si>
    <t>Thuyết minh tình hình sử dụng nguồn dự phòng, tăng thu và thưởng vượt dự toán thu ngân sách năm 2024</t>
  </si>
  <si>
    <t>Thuyết minh chi khắc phục hậu quả thiên tai năm 2024</t>
  </si>
  <si>
    <t>Thuyết minh tăng, giảm chi quản lý hành chính, đảng đoàn thể năm 2024</t>
  </si>
  <si>
    <t>Quyết toán chi chương trình mục tiêu theo mục lục NSNN năm 2024</t>
  </si>
  <si>
    <t>Quyết toán chi NSNN, vay NSĐP theo mục lục NSNN năm 2024</t>
  </si>
  <si>
    <t>Quyết toán thu NSNN, vay NSĐP theo mục lục NSNN năm 2024</t>
  </si>
  <si>
    <t>Quyết toán chi ngân sách địa phương năm 2024</t>
  </si>
  <si>
    <t>Quyết toán thu NSNN, vay NSĐP năm 2024</t>
  </si>
  <si>
    <t>Cân đối quyết toán ngân sách địa phương năm 2024</t>
  </si>
  <si>
    <t>Tổng hợp các quỹ tài chính nhà nước ngoài ngân sách do địa phương quản lý năm 2024</t>
  </si>
  <si>
    <t>Quyết toán vốn đầu tư các chương trình, dự án sử dụng vốn ngân sách năm 2024</t>
  </si>
  <si>
    <t>Quyết toán chi chương trình mục tiêu quốc gia năm 2024</t>
  </si>
  <si>
    <t>Quyết toán thu ngân sách xã năm 2024</t>
  </si>
  <si>
    <t>QUYẾT TOÁN CÂN ĐỐI NGÂN SÁCH ĐỊA PHƯƠNG NĂM 2025</t>
  </si>
  <si>
    <t>Biểu mẫu số 48</t>
  </si>
  <si>
    <t>TỔNG QUYẾT TOÁN NGÂN SÁCH XÃ CƯỜNG LỢI NĂM 2025</t>
  </si>
  <si>
    <t>BỘI CHI NSĐP/BỘI THU NSĐP/KẾT DƯ NSĐP</t>
  </si>
  <si>
    <t>CHI TRẢ NỢ GỐC CỦA NSĐP</t>
  </si>
  <si>
    <t>Từ nguồn vay để trả nợ gốc</t>
  </si>
  <si>
    <t>Từ nguồn bội thu, tăng thu, tiết kiệm chi, kết dư ngân sách cấp tỉnh</t>
  </si>
  <si>
    <t>TỔNG MỨC VAY CỦA NSĐP</t>
  </si>
  <si>
    <t>Vay để bù đắp bội chi</t>
  </si>
  <si>
    <t>Vay để trả nợ gốc</t>
  </si>
  <si>
    <t>G</t>
  </si>
  <si>
    <t>TỔNG MỨC DƯ NỢ VAY CUỐI NĂM CỦA NSĐP</t>
  </si>
  <si>
    <t>Biểu mẫu số 53</t>
  </si>
  <si>
    <t>Chi các chương trình mục tiêu, nhiệm vụ</t>
  </si>
  <si>
    <t>Biểu mẫu số 49</t>
  </si>
  <si>
    <t>Thu từ quỹ dự trữ tài chính (1)</t>
  </si>
  <si>
    <t>Chi trả nợ gốc từ nguồn bội thu, tăng thu, tiết kiệm, kết dư ngân sách cấp tỉnh (1)</t>
  </si>
  <si>
    <t>Bội chi NSĐP/Kết dư NSĐP (1)</t>
  </si>
  <si>
    <t>Thu tài trợ</t>
  </si>
  <si>
    <t>Chi bổ sung cho ngân sách cấp dưới (2)</t>
  </si>
  <si>
    <t>QUYẾT TOÁN CÂN ĐỐI NGUỒN THU, CHI NGÂN SÁCH CẤP XÃ NĂM 2025</t>
  </si>
  <si>
    <t>NGÂN SÁCH CẤP TỈNH (HUYỆN)</t>
  </si>
  <si>
    <t>Quyết toán cân đối  ngân sách địa phương năm 2025</t>
  </si>
  <si>
    <t>Quyết toán cân đối nguồn thu, chi ngân sách xã năm 2025</t>
  </si>
  <si>
    <t>Biểu mẫu số 50</t>
  </si>
  <si>
    <t>Quyết toán nguồn thu ngân sách nhà nước trên địa bàn theo lĩnh vực năm 2025</t>
  </si>
  <si>
    <t>QUYẾT TOÁN NGUỒN THU NGÂN SÁCH NHÀ NƯỚC TRÊN ĐỊA BÀN THEO LĨNH VỰC NĂM 2025</t>
  </si>
  <si>
    <t>Biểu mẫu số 51</t>
  </si>
  <si>
    <t>Quyết toán chi ngân sách địa phương theo lĩnh vực năm 2025</t>
  </si>
  <si>
    <t>Trong đó: Chia theo nguồn vốn</t>
  </si>
  <si>
    <t>Chi Khoa học và Công nghệ</t>
  </si>
  <si>
    <t>Chi Giáo dục - Đào tạo và dạy nghề</t>
  </si>
  <si>
    <t>Chi chương trình mục tiêu, nhiệm vụ</t>
  </si>
  <si>
    <t>THỰC HIỆN KINH PHÍ CẢI CÁCH TIỀN LƯƠNG NĂM 2025</t>
  </si>
  <si>
    <t>KP CCTL năm 2024 chuyển sang</t>
  </si>
  <si>
    <t xml:space="preserve">Quyết định số 1015/QĐ-UBND ngày 30/8/2025 </t>
  </si>
  <si>
    <t>Nguồn kinh phí cải cách tiền lương dư tại huyện chuyển về xã</t>
  </si>
  <si>
    <t>Thu bổ sung nguồn thực hiện cải cách tiền lương</t>
  </si>
  <si>
    <t>50% Kinh phí tiết kiệm từ thực hiện sắp xếp, tổ chức bộ máy xây dựng chính quyền địa phương 02 cấp (NĐ 178/NĐ-CP; NĐ 67/NĐ-CP)</t>
  </si>
  <si>
    <t>Phân bổ kinh phí cho các đơn vị thực hiện</t>
  </si>
  <si>
    <t>Điều chỉnh dự toán chi thường xuyên ngân sách của một số đơn vị dự toán năm 2025</t>
  </si>
  <si>
    <t>Phân bổ kinh phí thực hiện chính sách</t>
  </si>
  <si>
    <t>Người lập biểu</t>
  </si>
  <si>
    <t>THỦ TRƯỞNG ĐƠN VỊ</t>
  </si>
  <si>
    <t>Nguồn kinh phí cải cách tiền lương dư tại xã 02 cũ</t>
  </si>
  <si>
    <t>Văn bản của UBND Tỉnh, UBND xã/ngày, tháng</t>
  </si>
  <si>
    <t>Kinh phí được giao tự chủ nguồn ngân sách huyện trước sáp nhập chuyển về xã</t>
  </si>
  <si>
    <t>Một phần nguồn tiết kiệm chi năm 2025</t>
  </si>
  <si>
    <t>Báo cáo số 540/BC-UBND ngày 31/12/2025 của UBND xã Cường Lợi; Quyết định số 652/QĐ-UBND ngày 31/12/2025 của UBND xã Cường Lợi</t>
  </si>
  <si>
    <t>Quyết định số 112/QĐ-UBND ngày 26/02/2026 của UBND xã Cường Lợi</t>
  </si>
  <si>
    <t>TỔNG NGUỒN KP CCTL CÓ TRONG NĂM 2025</t>
  </si>
  <si>
    <t>+ Chính sách miễn, giảm học phí theo quy định tại Nghị định số 238/2025/NĐ-CP (đã trừ phần kinh phí trích 40% thực hiện cải cách tiền lương từ dự toán cấp bù miễn, giảm học phí Kỳ II năm học 2024-2025, Kỳ I năm học 2025-2026 để lại tại xã) và miễn, giảm học phí cho sinh viên trường ngoài công lập</t>
  </si>
  <si>
    <t xml:space="preserve">+ Trích 40% thực hiện cải cách tiền lương từ dự toán cấp bù miễn, giảm học phí Kỳ II năm học 2024-2025, Kỳ I năm học 2025-2026 để lại tại xã </t>
  </si>
  <si>
    <t>ĐÃ PHÂN BỔ SỬ DỤNG VÀ QUYẾT TOÁN</t>
  </si>
  <si>
    <t>Quyết định số 320/QĐ-UBND ngày 26/9/2025 của UBND xã Cường Lợi</t>
  </si>
  <si>
    <t>Quyết định số 462/QĐ-UBND ngày 13/11/2025 của UBND xã Cường Lợi</t>
  </si>
  <si>
    <t>KP CCTL còn lại chuyển nguồn sang năm  2026</t>
  </si>
  <si>
    <t>Quyết định số 603/QĐ-UBND ngày 29/12/2025 của UBND xã Cường Lợi</t>
  </si>
  <si>
    <t>….., Ngày …..tháng …. năm …</t>
  </si>
  <si>
    <t>TỔNG HỢP THU DỊCH VỤ CỦA ĐƠN VỊ SỰ NGHIỆP CÔNG NĂM 2025</t>
  </si>
  <si>
    <t>Thực hiện năm 2025</t>
  </si>
  <si>
    <t>Cường Lợi, ngày       tháng 3 năm 2026</t>
  </si>
  <si>
    <t>Biểu mẫu số 64</t>
  </si>
  <si>
    <t>Biểu mẫu số 63</t>
  </si>
  <si>
    <t>TỔNG HỢP CÁC QUỸ TÀI CHÍNH NHÀ NƯỚC NGOÀI NGÂN SÁCH DO ĐỊA PHƯƠNG QUẢN LÝ NĂM 2025</t>
  </si>
  <si>
    <t>Kế hoạch năm 2026</t>
  </si>
  <si>
    <t>Dư nguồn đến ngày 31/12/2025</t>
  </si>
  <si>
    <r>
      <t xml:space="preserve">CTMTQG (NS tỉnh đối ứng) </t>
    </r>
    <r>
      <rPr>
        <i/>
        <sz val="9"/>
        <rFont val="Times New Roman"/>
        <family val="1"/>
      </rPr>
      <t>(năm 2024 kéo dài sang năm 2025)</t>
    </r>
  </si>
  <si>
    <t>NS tỉnh hỗ trợ quy hoạch điểm dân cư, hỗ trợ CTMTQG XD NTM</t>
  </si>
  <si>
    <r>
      <t xml:space="preserve">CTMTQG </t>
    </r>
    <r>
      <rPr>
        <i/>
        <sz val="9"/>
        <rFont val="Times New Roman"/>
        <family val="1"/>
      </rPr>
      <t>(năm 2024 kéo dài sang năm 2025)</t>
    </r>
  </si>
  <si>
    <t>Quyết toán 2025</t>
  </si>
  <si>
    <r>
      <t xml:space="preserve">CT MTQG (NS tỉnh đối ứng) </t>
    </r>
    <r>
      <rPr>
        <i/>
        <sz val="9"/>
        <rFont val="Times New Roman"/>
        <family val="1"/>
      </rPr>
      <t>(năm 2024 kéo dài sang năm 2025)</t>
    </r>
  </si>
  <si>
    <t>Dự toán năm 2025</t>
  </si>
  <si>
    <t>Lũy kế vốn đã bố trí đến hết năm 2024</t>
  </si>
  <si>
    <t>Giá trị khối lượng thực hiện từ khởi công đến hết năm 2024</t>
  </si>
  <si>
    <t>Vốn khác</t>
  </si>
  <si>
    <t>QUYẾT TOÁN VỐN ĐẦU TƯ CÁC CHƯƠNG TRÌNH, DỰ ÁN SỬ DỤNG VỐN NGÂN SÁCH NHÀ NƯỚC NĂM 2025</t>
  </si>
  <si>
    <t>Mẫu biểu số 62</t>
  </si>
  <si>
    <t>QUYẾT TOÁN CHI CHƯƠNG TRÌNH MỤC TIÊU QUỐC GIA NĂM 2025</t>
  </si>
  <si>
    <t>Biểu mẫu số 61</t>
  </si>
  <si>
    <t>Cường Lợi, ngày      tháng 3 năm 2026</t>
  </si>
  <si>
    <t>Văn phòng HĐND và UBND</t>
  </si>
  <si>
    <t>Phòng Kinh tế</t>
  </si>
  <si>
    <t>Phòng Văn hóa - Xã hội</t>
  </si>
  <si>
    <t>Ủy ban MTTQVN xã</t>
  </si>
  <si>
    <t>Dư tại xã</t>
  </si>
  <si>
    <t>Biểu mẫu số 60</t>
  </si>
  <si>
    <t>QUYẾT TOÁN THU NGÂN SÁCH XÃ NĂM 2025</t>
  </si>
  <si>
    <t>QUYẾT TOÁN CHI NGÂN SÁCH XÃ NĂM 2025</t>
  </si>
  <si>
    <t>Biểu mẫu số 59</t>
  </si>
  <si>
    <t>QUYẾT TOÁN CHI BỔ SUNG TỪ NGÂN SÁCH CẤP TỈNH (HUYỆN) CHO NGÂN SÁCH TỪNG HUYỆN (XÃ) NĂM...</t>
  </si>
  <si>
    <t>(Dùng cho ngân sách tỉnh, huyện)</t>
  </si>
  <si>
    <r>
      <t xml:space="preserve">Ghi chú: </t>
    </r>
    <r>
      <rPr>
        <i/>
        <sz val="10"/>
        <color indexed="8"/>
        <rFont val="Times New Roman"/>
        <family val="1"/>
      </rPr>
      <t>(1) Bổ sung từ ngân sách tỉnh chi tiết đến từng huyện; bổ sung từ ngân sách huyện chi tiết đến từng xã.</t>
    </r>
  </si>
  <si>
    <t>QUYẾT TOÁN CHI ĐẦU TƯ PHÁT TRIỂN CỦA NGÂN SÁCH CẤP XÃ CHO TỪNG CƠ QUAN, TỔ CHỨC THEO LĨNH VỰC NĂM 2025</t>
  </si>
  <si>
    <t>Biểu mẫu số 55</t>
  </si>
  <si>
    <t>Phòng Kinh tế xã</t>
  </si>
  <si>
    <t>Nguồn ngân sách tỉnh hỗ trợ CTMTQG xây dựng nông thôn mới</t>
  </si>
  <si>
    <t>Nguồn tiết kiệm chi ngân sách xã năm 2024 chuyển sang 2025</t>
  </si>
  <si>
    <t>Nguồn tăng thu, tiết kiệm chi năm 2024 ngân sách huyện trước sắp xếp, sáp nhập chuyển về xã</t>
  </si>
  <si>
    <t>QUYẾT TOÁN CHI NGÂN SÁCH CẤP XÃ CHO TỪNG CƠ QUAN, TỔ CHỨC THEO LĨNH VỰC NĂM 2025</t>
  </si>
  <si>
    <t>Biểu mẫu số 54</t>
  </si>
  <si>
    <t>CÁC CƠ QUAN, TỔ CHỨC</t>
  </si>
  <si>
    <t>CHI TRẢ NỢ LÃI CÁC KHOẢN DO CHÍNH QUYỀN ĐỊA PHƯƠNG VAY (2)</t>
  </si>
  <si>
    <t>CHI BỔ SUNG QUỸ DỰ TRỮ TÀI CHÍNH (2)</t>
  </si>
  <si>
    <t>CHI NỘP NGÂN SÁCH CẤP TRÊN</t>
  </si>
  <si>
    <t>Văn phòng HĐND và UBND xã</t>
  </si>
  <si>
    <t>QUYẾT TOÁN CHI THƯỜNG XUYÊN CỦA NGÂN SÁCH CẤP XÃ CHO TỪNG CƠ QUAN, TỔ CHỨC THEO LĨNH VỰC NĂM 2025</t>
  </si>
  <si>
    <t>Phòng Văn hóa - XH</t>
  </si>
  <si>
    <t>Trung tâm phục vụ Hành chính công</t>
  </si>
  <si>
    <t>Văn phòng Đảng ủy</t>
  </si>
  <si>
    <t>Ủy ban Mặt trận Tổ quốc VN xã</t>
  </si>
  <si>
    <t>Công an xã</t>
  </si>
  <si>
    <t>UBND XÃ TRẦN PHÚ</t>
  </si>
  <si>
    <t>Thu từ cấp dưới nộp lên</t>
  </si>
  <si>
    <t>Biểu mẫu số 52</t>
  </si>
  <si>
    <t>Biểu mẫu số 57</t>
  </si>
  <si>
    <t>Biểu mẫu số 58</t>
  </si>
  <si>
    <t>Xã Trần Phú</t>
  </si>
  <si>
    <t>QUYẾT TOÁN CHI CHƯƠNG TRÌNH MỤC TIÊU QUỐC GIA, CHƯƠNG TRÌNH MỤC TIÊU VÀ CHƯƠNG TRÌNH, NHIỆM VỤ KHÁC NĂM 2025</t>
  </si>
  <si>
    <t>Văn phòng Đảng ủy xã</t>
  </si>
  <si>
    <t>Văn phòng HĐND&amp;UBND xã</t>
  </si>
  <si>
    <t>Trung tâm phục vụ hành chính công</t>
  </si>
  <si>
    <t>Ủy ban Mặt trận Tổ quốc Việt Nam xã</t>
  </si>
  <si>
    <t>Trường Mầm non Cư Lễ</t>
  </si>
  <si>
    <t>Trường Mầm non Văn Minh</t>
  </si>
  <si>
    <t>Trường Tiểu học và Trung học cơ sở Văn Minh</t>
  </si>
  <si>
    <t>Trường Tiểu học và Trung học cơ sở Cư Lễ</t>
  </si>
  <si>
    <t>Trường Mầm non Trần Phú</t>
  </si>
  <si>
    <t>Trường Tiểu học Trần Phú</t>
  </si>
  <si>
    <t>Trường Trung học cơ sở Trần Phú</t>
  </si>
  <si>
    <t>Trung tâm học tập cộng đồng xã Trần Phú</t>
  </si>
  <si>
    <t/>
  </si>
  <si>
    <t>Công an xã Trần Phú</t>
  </si>
  <si>
    <t>Phòng giao dịch số 8 - KBNN khu vực VII</t>
  </si>
  <si>
    <t>NGUỒN XÃ ĐIỀU HÀNH (ĐIỀU CHỈNH CẤP HUYỆN)</t>
  </si>
  <si>
    <t>Nguồn ngân sách tỉnh hỗ trợ thực hiện CTMTQG xây dựng nông thôn mới (BQLDA cấp huyện làm chủ đầu tư)</t>
  </si>
  <si>
    <t>Xây mới và cải tạo sửa chữa Trường Tiểu học Trần Phú, huyện Na Rì</t>
  </si>
  <si>
    <t>Xây dựng các hạng mục phụ trợ Trường Mầm non Văn Minh, huyện Na Rì</t>
  </si>
  <si>
    <t>Sửa chữa Trường TH&amp;THCS Văn Minh, huyện Na Rì</t>
  </si>
  <si>
    <t>Cải tạo, nâng cấp nhà văn hóa xã Cư Lễ, huyện Na Rì</t>
  </si>
  <si>
    <t>Đổ bê tông đường trục thôn Nà Dài - Khuổi Cuồng, Xã Cư Lễ, huyện Na Rì</t>
  </si>
  <si>
    <t>Sửa chữa, nâng cấp chợ và các hạng mục phụ trợ chợ nông thôn xã Cư Lễ, huyện Na Rì</t>
  </si>
  <si>
    <t>Cải tạo, nâng cấp tuyến đường Trường Mầm non Văn Minh, xã Trần Phú</t>
  </si>
  <si>
    <t>Nguồn CTMTQG DTTS MN năm 2025</t>
  </si>
  <si>
    <t>I.1</t>
  </si>
  <si>
    <t>Nội dung số 2: Hỗ trợ nhà ở</t>
  </si>
  <si>
    <t>I.2</t>
  </si>
  <si>
    <t>Nội dung số 01: Đầu tư cơ sở hạ tầng thiết yếu cùng đồng bào dân tộc thiểu số và miền núi; ưu tiên đối với các xã ĐBKK, thôn ĐBKK</t>
  </si>
  <si>
    <t>Xã Trần Phú (mới) (Ban QLDA cấp huyện làm chủ đầu tư)</t>
  </si>
  <si>
    <t>Cải tạo đường điện 0,4kV thôn Nà Mực, xã văn Minh</t>
  </si>
  <si>
    <t>Cải tạo đường điện 0,4kV thôn Khuổi Tục, xã Văn Minh</t>
  </si>
  <si>
    <t>Cải tạo đường điện 0,4kV thôn Khuổi Piấu - Nà Mực, xã Văn Minh</t>
  </si>
  <si>
    <t>Mở mới đường sản xuất Cặm Mjầu - Thôm Phéc, xã Cư Lễ</t>
  </si>
  <si>
    <t>Mở mới đường sản xuất Cặm Mjầu – Cốc Cọng, xã Cư Lễ</t>
  </si>
  <si>
    <t>Mở mới đường sản xuất thôn Khau Pần, xã Cư Lễ</t>
  </si>
  <si>
    <t>Mở mới đường Nà Phấy, xã Trần Phú</t>
  </si>
  <si>
    <t>Xây rãnh thoát nước thôn Nà Sát, xã Trần Phú</t>
  </si>
  <si>
    <t>Xây dựng đập mương Lọ Quỳnh, xã Trần Phú</t>
  </si>
  <si>
    <t>Xây dựng đập kênh Cốc Lồm, thôn Nà Vèn, xã Trần Phú</t>
  </si>
  <si>
    <t>Cải tạo, sửa chữa nhà hiệu bộ và các phòng học Trường Tiểu học Trần Phú (trường chính)</t>
  </si>
  <si>
    <t>Nhà văn hóa thôn Nà Coóc, xã Trần Phú</t>
  </si>
  <si>
    <t>Sửa chữa cải tạo tuyến đường QL279-Khuổi Khiếu, xã Trần Phú</t>
  </si>
  <si>
    <t>Nâng cấp hệ thống thủy lợi Hát Pái, thôn Nà Dụ</t>
  </si>
  <si>
    <t>Nâng cấp hệ thống thủy lợi Sàng Lường, thôn Nà Mực</t>
  </si>
  <si>
    <t>Đường trục thôn đến nhà văn hóa Khuổi Liềng, xã Văn Minh</t>
  </si>
  <si>
    <t>Đường trục thôn Nà Piẹt, xã Văn Minh</t>
  </si>
  <si>
    <t>Đường bê tông Khuổi Cuồng</t>
  </si>
  <si>
    <t>Đường bê tông quốc lộ 279 - Nà Mạ</t>
  </si>
  <si>
    <t>Đổ bê tông đường Tám Bung, xã Trần Phú</t>
  </si>
  <si>
    <t>Bê tông đường Lùng Đứa - Vằng Mười, xã Trần Phú</t>
  </si>
  <si>
    <t>Nguồn CTMTQG DTTS MN (năm 2024 kéo dài sang năm 2025)</t>
  </si>
  <si>
    <t>III.1</t>
  </si>
  <si>
    <t>Xã Cư Lễ (cũ)</t>
  </si>
  <si>
    <t>III.2</t>
  </si>
  <si>
    <t>Sửa chữa Chợ Trần Phú, xã Trần Phú</t>
  </si>
  <si>
    <t>Nâng cấp, cải tạo các công trình phụ trợ, chợ xã Cư Lễ</t>
  </si>
  <si>
    <t>Sửa chữa trường Mầm non Cư Lễ, xã Cư Lễ</t>
  </si>
  <si>
    <t>Sửa chữa cầu Nà Lẹng, xã Cư Lễ</t>
  </si>
  <si>
    <t>Cải tạo, sửa chữa các công trình thủy lợi xã Trần Phú</t>
  </si>
  <si>
    <t>Đường sản xuất ĐT256 - Khuổi Thán, xã Trần Phú</t>
  </si>
  <si>
    <t>Đường nội đồng Nà Túng, xã Trần Phú, huyện Na Rì</t>
  </si>
  <si>
    <t>Bê tông đường sản xuất Khuổi Săm, xã Trần Phú</t>
  </si>
  <si>
    <t>Đường Hát Noong, xã Trần Phú, huyện Na Rì</t>
  </si>
  <si>
    <t>Đường liên thôn Nà Vèn - Khuổi Mý, xã Trần Phú</t>
  </si>
  <si>
    <t>Nâng cấp đường QL3B - Khuổi Cuồng đoạn Km1+800 đến Km2+900, xã Cư Lễ</t>
  </si>
  <si>
    <t>Nâng cấp đường ngõ xóm QL3B - Cốc Bây, thôn Khau Ngòa, xã Cư Lễ</t>
  </si>
  <si>
    <t>Nâng cấp đường nội thôn Khau Pần (đoạn nhà ông Sơn - nhà ông Bạc), xã Cư Lễ</t>
  </si>
  <si>
    <t>Nâng cấp đường ngõ xóm Bắc Sao, thôn Khuổi Quân, xã Cư Lễ</t>
  </si>
  <si>
    <t>Nâng cấp đường ngõ xóm Thâm Pết, thôn Khuổi Quân, xã Cư Lễ</t>
  </si>
  <si>
    <t>Nâng cấp đường ngõ xóm Sọ Bếp, thôn Khuổi Quân, xã Cư Lễ</t>
  </si>
  <si>
    <t>Nâng cấp đường sản xuất Mạy Ỏ 1, thôn Khuổi Quân, xã Cư Lễ</t>
  </si>
  <si>
    <t>Nâng cấp cải tạo đường trục thôn Khuổi Quân từ QL279 đến thôn Khuổi Quân đoạn Km0 đến Km 1+500, xã Cư Lễ</t>
  </si>
  <si>
    <t>Đường ngõ xóm Khuổi Piấu thôn Nà Mực, xã Văn Minh</t>
  </si>
  <si>
    <t>Đường trục xã từ Quốc lộ 279 - Nà Dụ, xã Văn Minh</t>
  </si>
  <si>
    <t>Nâng cấp mương Thôm Ngân thôn Khuổi Liềng, xã Văn Minh</t>
  </si>
  <si>
    <t>Nguồn ngân sách tỉnh hỗ trợ kinh phí lập quy hoạch chung xã (kéo dài sang năm 2025)</t>
  </si>
  <si>
    <t>Quy hoạch chung xây dựng xã Văn Minh, huyện Na Rì, tỉnh Bắc Kạn giai đoạn đến năm 2030</t>
  </si>
  <si>
    <t>Nguồn tăng thu tiết kiệm chi năm 2024</t>
  </si>
  <si>
    <t>Trụ sở làm việc UBND xã Cư Lễ, huyện Na Rì</t>
  </si>
  <si>
    <t>Cải tạo nâng cấp đường QL3B - Hữu Thác, huyện Na Rì, tỉnh Bắc Kạn</t>
  </si>
  <si>
    <t>NGÂN SÁCH CẤP XÃ (CŨ) LÀM CHỦ ĐẦU TƯ</t>
  </si>
  <si>
    <t>Xây kè, đổ bê tông đường nội đồng thôn Khau Ngòa, xã Cư Lễ, huyện Na Rì, tỉnh Bắc Kạn</t>
  </si>
  <si>
    <t>Xây kè, đổ bê tông đường nội đồng thôn Khau Ngòa, xã Cư Lễ (đoạn nối tiếp)</t>
  </si>
  <si>
    <t>Đường Khuổi Liềng đoạn nối tiếp thôn Nà Ngòa, xã Văn Minh, huyện Na Rì</t>
  </si>
  <si>
    <t>Đường bê tông, sân bê tông nhà văn hóa xã Trần Phú, huyện Na Rì</t>
  </si>
  <si>
    <r>
      <t xml:space="preserve">DỰ ÁN 1 - GIẢI QUYẾT TÌNH TRẠNG THIẾU ĐẤT Ở, NHÀ Ở, ĐẤT SẢN XUẤT, NƯỚC SINH HOẠT </t>
    </r>
    <r>
      <rPr>
        <b/>
        <i/>
        <sz val="9"/>
        <color rgb="FFFF0000"/>
        <rFont val="Times New Roman"/>
        <family val="1"/>
      </rPr>
      <t>(Mã CTMT: 0511)</t>
    </r>
  </si>
  <si>
    <r>
      <t xml:space="preserve"> DỰ ÁN 4 - ĐẦU TƯ CƠ SỞ HẠ TẦNG THIẾT YẾU, PHỤC VỤ SẢN XUẤT, ĐỜI SỐNG VÙNG ĐỒNG BÀO DTTS&amp;MN (</t>
    </r>
    <r>
      <rPr>
        <b/>
        <i/>
        <sz val="9"/>
        <color rgb="FFFF0000"/>
        <rFont val="Times New Roman"/>
        <family val="1"/>
      </rPr>
      <t>Mã CTMT:0514)</t>
    </r>
  </si>
  <si>
    <t>Số 553/QĐ-UBND ngày 12/03/2025 của UBND huyện Na Rì</t>
  </si>
  <si>
    <t>Số 239/QĐ-UBND ngày 06/12/2024 của UBND xã Văn Minh</t>
  </si>
  <si>
    <t>Số 240/QĐ-UBND ngày 06/12/2024 của UBND xã Văn Minh</t>
  </si>
  <si>
    <t>Số 645/QĐ-UBND ngày 14/03/2025 của UBND huyện Na Rì</t>
  </si>
  <si>
    <t>Số 646/QĐ-UBND ngày 14/03/2025 của UBND huyện Na Rì</t>
  </si>
  <si>
    <t>Số 616/QĐ-UBND ngày 13/03/2025 của UBND huyện Na Rì</t>
  </si>
  <si>
    <t>Số 617/QĐ-UBND ngày 13/03/2025 của UBND huyện Na Rì</t>
  </si>
  <si>
    <t>Số 615/QĐ-UBND ngày 13/03/2025 của UBND huyện Na Rì</t>
  </si>
  <si>
    <t>Số 238/QĐ-UBND ngày 06/12/2024 của UBND xã Văn Minh</t>
  </si>
  <si>
    <t>Số 241/QĐ-UBND ngày 06/12/2024 của UBND xã Văn Minh</t>
  </si>
  <si>
    <t>Số 342/QĐ-UBND ngày 06/12/2024 của UBND xã Cư Lễ</t>
  </si>
  <si>
    <t>Số 625/QĐ-UBNDngày 14/3/2025 của UBND huyện Na Rì</t>
  </si>
  <si>
    <t>Số 214/QĐ-UBND ngày 09/12/2024 của UBND xã Trần Phú</t>
  </si>
  <si>
    <t>Số 215/QĐ-UBND ngày 09/12/2024 của UBND xã Trần Phú</t>
  </si>
  <si>
    <t>Số 624/QĐ-UBND ngày 14/3/2025 của UBND huyện Na Rì</t>
  </si>
  <si>
    <t>Số 642/QĐ-UBNDngày 14/3/2025 của UBND huyện Na Rì</t>
  </si>
  <si>
    <t>Số 643/QĐ-UBNDngày 14/3/2025 của UBND huyện Na Rì</t>
  </si>
  <si>
    <t>Số 623/QĐ-UBND ngày 13/3/2025 của UBND huyện Na Rì</t>
  </si>
  <si>
    <t>Số 639/QĐ-UBND ngày 14/3/2025 của UBND huyện Na Rì</t>
  </si>
  <si>
    <t>Số 537/QĐ-UBND ngày 03/11/2025 của UBND xã Trần Phú</t>
  </si>
  <si>
    <t>Số 341/QĐ-UBND ngày 06/12/2024 của UBND xã Cư Lễ</t>
  </si>
  <si>
    <t>Số 3385/QĐ-UBND ngày 21/10/2024 của UBND huyện Na Rì</t>
  </si>
  <si>
    <t>Số 3608/QĐ-UBND ngày 07/11/2024 của UBND huyện Na Rì</t>
  </si>
  <si>
    <t>Số 188/QĐ-UBND ngày 17/10/2024 của UBND xã Văn Minh</t>
  </si>
  <si>
    <t>Số 3386/QĐ-UBND ngày 21/10/2024 của UBND huyện Na Rì</t>
  </si>
  <si>
    <t>Số 178/QĐ-UBND ngày 21/10/2024 của UBND xã Trần Phú</t>
  </si>
  <si>
    <t>Số 176/QĐ-UBND ngày 21/10/2024 của UBND xã Trần Phú</t>
  </si>
  <si>
    <t>QĐ phê duyệt QT số 110/QĐ-UBND ngày 15/5/2025 của UBND xã Trần Phú</t>
  </si>
  <si>
    <t>QĐ phê duyệt QT số 107/QĐ-UBND ngày 15/5/2025</t>
  </si>
  <si>
    <t>QĐ phê duyệt QT số 109/QĐ-UBND ngày 15/5/2025 của UBND xã Trần Phú</t>
  </si>
  <si>
    <t>Số 96/QĐ-UBND ngày 9/4/2025 của UBND xã Cư Lễ</t>
  </si>
  <si>
    <t>Số 108/QĐ-UBND ngày 23/4/2025 của UBND xã Cư Lễ</t>
  </si>
  <si>
    <t>Số 97/QĐ-UBND ngày 9/4/2025 của UBND xã Cư Lễ</t>
  </si>
  <si>
    <t>Số 374/QĐ-UBND ngày 31/12/2024 của UBND xã Cư Lễ</t>
  </si>
  <si>
    <t>Số 381/QĐ-UBND ngày 31/12/2024 của UBND xã Cư Lễ</t>
  </si>
  <si>
    <t xml:space="preserve"> Số 114/QĐ-UBND ngày 28/04/2025 của UBND xã Cư Lễ</t>
  </si>
  <si>
    <t>Số 113/QĐ-UBND ngày 28/4/2025 của UBND xã Cư Lễ</t>
  </si>
  <si>
    <t>Số 85/QĐ-UBND ngày 28/3/2025 của UBND xã Cư Lễ</t>
  </si>
  <si>
    <t>Số 272/QĐ-UBND ngày 31/12/2024 của UBND xã Văn Minh</t>
  </si>
  <si>
    <t>Số 269/QĐ-UBND ngày 31/12/2024 của UBND xã Văn Minh</t>
  </si>
  <si>
    <t>Số 1043/QĐ-UBND ngày 10/4/2025 của UBND huyện Na Rì</t>
  </si>
  <si>
    <t>Số 962/QĐ-UBND ngày 02/4/2025 của UBND huyện Na Rì</t>
  </si>
  <si>
    <t>973/QĐ-UBND ngày 16/4/2024; 2312/QĐ-UBND ngày 18/6/2025</t>
  </si>
  <si>
    <t>3702/QĐ-UBND ngày 18/11/2024; 2312/QĐ-UBND ngày 18/6/2025</t>
  </si>
  <si>
    <t>3703/QĐ-UBND ngày 18/11/2024; 2312/QĐ-UBND ngày 18/6/2025</t>
  </si>
  <si>
    <t>850/QĐ-UBND ngày 09/4/2024; 2312/QĐ-UBND ngày 18/6/2025</t>
  </si>
  <si>
    <t>5474/QĐ-UBND ngày 16/11/2023; 2312/QĐ-UBND ngày 18/6/2025</t>
  </si>
  <si>
    <t>972/QĐ-UBND ngày 16/4/2024; 2312/QĐ-UBND ngày 18/6/2025</t>
  </si>
  <si>
    <t>Số 372/QĐ-UBND ngày 25/9/2025</t>
  </si>
  <si>
    <t xml:space="preserve">Quyết định số 1354/QĐ-UBND ngày 13/5/2024 của UBND huyện Na Rì </t>
  </si>
  <si>
    <t>2439/QĐ-UBND ngày 12/8/2024; 1320/QĐ-UBND ngày 09/5/2025</t>
  </si>
  <si>
    <t xml:space="preserve">Số 110/QĐ-UBND ngày 24/4/2025 của UBND xã Văn Minh </t>
  </si>
  <si>
    <t>Số 86/QĐ-UBND ngày 20/4/2025 của UBND xã Trần Phú</t>
  </si>
  <si>
    <t>Quyết định số 84/QĐ-UBND ngày 27/3/2025 của UBND xã Cư Lễ</t>
  </si>
  <si>
    <t>Quyết định số 76/QĐ-UBND ngày 15/5/2024 của UBND xã Cư Lễ</t>
  </si>
  <si>
    <t>QUYẾT TOÁN CHI NGÂN SÁCH ĐỊA PHƯƠNG, CHI NGÂN SÁCH XÃ THEO CƠ CẤU CHI NĂM 2025</t>
  </si>
  <si>
    <t>TỔNG HỢP QUYẾT TOÁN CHI THƯỜNG XUYÊN NGÂN SÁCH CẤP XÃ CỦA TỪNG CƠ QUAN, TỔ CHỨC THEO NGUỒN VỐN NĂM 2025</t>
  </si>
  <si>
    <t>Trường Mầm non Cư Lễ (thu học phí kỳ 2 năm học 2024-2025)</t>
  </si>
  <si>
    <t>Trường Mầm non Văn Minh (thu học phí kỳ 2 năm học 2024-2025)</t>
  </si>
  <si>
    <t>Trường Mầm non Trần Phú (thu học phí kỳ 2 năm học 2024-2025)</t>
  </si>
  <si>
    <t>Nguồn ngân sách tỉnh hỗ trợ kinh phí lập quy hoạch chung xã</t>
  </si>
  <si>
    <t>Trường TH&amp;THCS Cư Lễ</t>
  </si>
  <si>
    <t>Trường TH&amp;THCS Văn Minh</t>
  </si>
  <si>
    <t>Trường THCS Trần Phú</t>
  </si>
  <si>
    <t>Đơn vị cấp lệnh chi khác</t>
  </si>
  <si>
    <t>Trích ngân sách tỉnh năm 2025 bổ sung kinh phí cho một số đơn vị, địa phương thực hiện tổ chức các hoạt động Tết Trung thu</t>
  </si>
  <si>
    <t>V/v trích ngân sách tỉnh năm 2025 phân bổ kinh phí đảm bảo cơ sở, vật chất cho các địa phương từ nguồn ngân sách Trung ương khi thực hiện sắp xếp, tinh gọn bộ máy, sắp xếp đơn vị hành chính</t>
  </si>
  <si>
    <t>Kinh phí hỗ trợ học sinh PTTH vùng ĐBKK theo Nghị định số 116/2016/NĐ-CP ngày 18/07/2016; Nghị định số 66/2025/NĐ-CP ngày 12/3/2025 của Chính phủ </t>
  </si>
  <si>
    <t>Chính sách phát triển giáo dục mầm non Nghị định 105/2020/NĐ-CP ngày 08/09/2020,  Nghị định số 277/2025/NĐ-CP ngày 20/10/2025 của Chính phủ </t>
  </si>
  <si>
    <t>Học bổng, chi phí học tập cho học sinh khuyết tật theo Thông tư liên tịch số 42/2013/TTLT-BGDĐT-BLĐTBXH-BTC ngày 31/12/2013 </t>
  </si>
  <si>
    <t>Kinh phí hỗ trợ giáo viên dạy học sinh khuyết tật theo NĐ 28/2012/NĐ-CP và NĐ 113/2005/NĐ-CP</t>
  </si>
  <si>
    <t>Kinh phí hỗ trợ cô nuôi tổ chức nấu ăn theo Nghị  quyết số 16/2025/NQ-HĐND tỉnh Thái Nguyên</t>
  </si>
  <si>
    <t>Kinh phí cho các cơ quan, đơn vị, địa phương để thực hiện chính sách, chế độ theo Nghị định số 178/2024/NĐ-CP ngày 31/12/2024 và Nghị định số 67/2025/NĐ-CP ngày 15/3/2025 của Chính phủ (đợt 3)</t>
  </si>
  <si>
    <t>Kinh phí cho các cơ quan, đơn vị, địa phương để thực hiện các chế độ, chính sách cho các đối tượng đã được phê duyệt trước khi sắp xếp đơn vị hành chính (Nghị định số 29/2023/NĐ-CP được thay thế bởi Nghị định 154/2025/NĐ-CP ngày 15/06/2025)</t>
  </si>
  <si>
    <t>Kinh phí cho các địa phương để thực hiện tặng quà cho nhân dân dịp kỷ niệm 80 năm Cách mạng tháng Tám và Quốc Khánh 2/9</t>
  </si>
  <si>
    <t>Kinh phí cho các cơ quan, đơn vị, địa phương để thực hiện chính sách, chế độ theo Nghị định số 178/2024/NĐ-CP ngày 31/12/2024 và  Nghị định số 67/2025/NĐ-CP ngày 15/3/2025 của Chính Phủ (đợt 5)</t>
  </si>
  <si>
    <t>Kinh phí hỗ trợ từ nguồn dự phòng ngân sách Trung ương cho một số đơn vị, địa phương, thực hiện nhiệm vụ</t>
  </si>
  <si>
    <t>Kinh phí cho các cơ quan, đơn vị, địa phương để thực hiện chính sách, chế độ theo Nghị định số 178/2024/NĐ-CP ngày 31/12/2024 và  Nghị định số 67/2025/NĐ-CP ngày 15/3/2025 của Chính Phủ (đợt 6)</t>
  </si>
  <si>
    <t xml:space="preserve">Kinh phí cho các cơ quan, đơn vị, địa phương (đợt 7) và bổ sung kinh phí cho các đối tượng đã được phê duyệt để thực hiện chính sách, chế độ theo Nghị định số 178/2024/NĐ-CP ngày 31/12/2024 và  Nghị định số 67/2025/NĐ-CP ngày 15/3/2025 của Chính Phủ </t>
  </si>
  <si>
    <t>Kinh phí cho các đơn vị, địa phương để thực hiện chính sách, chế độ Nghị định số 154/2025/NĐ-CP ngày 15/6/2025 của Chính phủ (đợt 8)</t>
  </si>
  <si>
    <t>Kinh phí cho các đơn vị, địa phương để thực hiện tặng quà của Đảng, nhà nước nhân dịp chào mừng Đại hội đại biểu toàn quốc lần thứ XIV của Đảng và Tết Nguyên đán Bính Ngọ năm 2026 theo Nghị quyết số 418/NQ-CP ngày 28/12/2025 của Chính Phủ</t>
  </si>
  <si>
    <t>Kinh phí cho các đơn vị, địa phương để thực hiện xóa nhà tạm, nhà dột nát trên địa bàn các xã, phường khu vực phía Bắc tỉnh Thái Nguyên</t>
  </si>
  <si>
    <t>Kinh phí cho các địa phương để thực hiện chính sách, chế độ theo Nghị định số 154/2025/NDD-CP ngaỳ 15/6/2025 của Chính Phủ (đợt 5)</t>
  </si>
  <si>
    <t>Kinh phí cho các địa phương để thực hiện chính sách, chế độ Nghị định số 154/2025/NĐ-CP ngày 15/06/2025 của Chính phủ (Đợt 3)</t>
  </si>
  <si>
    <t>Kinh phí cho các địa phương để thực hiện nhiệm vụ đã được phê duyệt trước khi sắp xếp đơn vị hành chính (Kinh phí xóa nhà tạm)</t>
  </si>
  <si>
    <t>Kinh phí cho các đơn vị, địa phương để khắc phục hậu quả do mưa lũ gây ra (Đợt 2)</t>
  </si>
  <si>
    <t>CHI NGÂN SÁCH CẤP XÃ THEO LĨNH VỰC</t>
  </si>
  <si>
    <t>QUYẾT TOÁN CHI NGÂN SÁCH ĐỊA PHƯƠNG THEO LĨNH VỰC NĂM 2025</t>
  </si>
  <si>
    <t>QUYẾT TOÁN CHI NGÂN SÁCH CẤP XÃ THEO LĨNH VỰC NĂM 2025</t>
  </si>
  <si>
    <t>Quỹ Người cao tuổi</t>
  </si>
  <si>
    <t>Văn Minh</t>
  </si>
  <si>
    <t>2.15</t>
  </si>
  <si>
    <t>3.9</t>
  </si>
  <si>
    <t>3.10</t>
  </si>
  <si>
    <t>3.17</t>
  </si>
  <si>
    <t>4.6</t>
  </si>
  <si>
    <t>4.7</t>
  </si>
  <si>
    <t>5.4</t>
  </si>
  <si>
    <t>5.8</t>
  </si>
  <si>
    <t>6.4</t>
  </si>
  <si>
    <t>6.5</t>
  </si>
  <si>
    <t>Kinh phí cho các cơ quan, đơn vị, địa phương để thực hiện các nhiệm vụ đã được phê duyệt trước khi sắp sếp đơn vị hành chính (KP bảo vệ rừng tự nhiên phòng hộ sản xuất năm 2025)</t>
  </si>
  <si>
    <t>Kinh phí cho một số đơn vị, địa phương thực hiện tổ chức các hoạt động Tết Trung thu</t>
  </si>
  <si>
    <t>Kinh phí đảm bảo cơ sở, vật chất cho các địa phương từ nguồn ngân sách Trung ương khi thực hiện sắp xếp, tinh gọn bộ máy, sắp xếp đơn vị hành chính</t>
  </si>
  <si>
    <t>Kinh phí hỗ trợ Giáo viên tiểu học dạy lớp ghép theo Quyết định số 15/2010/QĐ-TTg</t>
  </si>
  <si>
    <t>Biểu mẫu số 56</t>
  </si>
  <si>
    <t>(Kèm theo Quyết định số      /QĐ-UBND ngày 15/04/2026 nhân dân xã Trần Phú)</t>
  </si>
</sst>
</file>

<file path=xl/styles.xml><?xml version="1.0" encoding="utf-8"?>
<styleSheet xmlns="http://schemas.openxmlformats.org/spreadsheetml/2006/main" xmlns:mc="http://schemas.openxmlformats.org/markup-compatibility/2006" xmlns:x14ac="http://schemas.microsoft.com/office/spreadsheetml/2009/9/ac" mc:Ignorable="x14ac">
  <numFmts count="177">
    <numFmt numFmtId="41" formatCode="_-* #,##0\ _₫_-;\-* #,##0\ _₫_-;_-* &quot;-&quot;\ _₫_-;_-@_-"/>
    <numFmt numFmtId="43" formatCode="_-* #,##0.00\ _₫_-;\-* #,##0.00\ _₫_-;_-* &quot;-&quot;??\ _₫_-;_-@_-"/>
    <numFmt numFmtId="164" formatCode="&quot;$&quot;#,##0_);\(&quot;$&quot;#,##0\)"/>
    <numFmt numFmtId="165" formatCode="&quot;$&quot;#,##0_);[Red]\(&quot;$&quot;#,##0\)"/>
    <numFmt numFmtId="166" formatCode="&quot;$&quot;#,##0.00_);[Red]\(&quot;$&quot;#,##0.00\)"/>
    <numFmt numFmtId="167" formatCode="_(&quot;$&quot;* #,##0_);_(&quot;$&quot;* \(#,##0\);_(&quot;$&quot;* &quot;-&quot;_);_(@_)"/>
    <numFmt numFmtId="168" formatCode="_(* #,##0_);_(* \(#,##0\);_(* &quot;-&quot;_);_(@_)"/>
    <numFmt numFmtId="169" formatCode="_(&quot;$&quot;* #,##0.00_);_(&quot;$&quot;* \(#,##0.00\);_(&quot;$&quot;* &quot;-&quot;??_);_(@_)"/>
    <numFmt numFmtId="170" formatCode="_(* #,##0.00_);_(* \(#,##0.00\);_(* &quot;-&quot;??_);_(@_)"/>
    <numFmt numFmtId="171" formatCode="_(* #,##0.0_);_(* \(#,##0.0\);_(* &quot;-&quot;??_);_(@_)"/>
    <numFmt numFmtId="172" formatCode="_(* #,##0_);_(* \(#,##0\);_(* &quot;-&quot;??_);_(@_)"/>
    <numFmt numFmtId="173" formatCode="_-* #,##0.000000\ _₫_-;\-* #,##0.000000\ _₫_-;_-* &quot;-&quot;??\ _₫_-;_-@_-"/>
    <numFmt numFmtId="174" formatCode="_(* #,##0.000_);_(* \(#,##0.000\);_(* &quot;-&quot;??_);_(@_)"/>
    <numFmt numFmtId="175" formatCode="_-* #,##0\ _₫_-;\-* #,##0\ _₫_-;_-* &quot;-&quot;??\ _₫_-;_-@_-"/>
    <numFmt numFmtId="176" formatCode="_-* #,##0.000000\ _₫_-;\-* #,##0.000000\ _₫_-;_-* &quot;-&quot;??????\ _₫_-;_-@_-"/>
    <numFmt numFmtId="177" formatCode="_(* #,##0.0000_);_(* \(#,##0.0000\);_(* &quot;-&quot;??_);_(@_)"/>
    <numFmt numFmtId="178" formatCode="_(* #,##0.00000_);_(* \(#,##0.00000\);_(* &quot;-&quot;??_);_(@_)"/>
    <numFmt numFmtId="179" formatCode="_(* #,##0.000000_);_(* \(#,##0.000000\);_(* &quot;-&quot;??_);_(@_)"/>
    <numFmt numFmtId="180" formatCode="_(* #,##0.0000000_);_(* \(#,##0.0000000\);_(* &quot;-&quot;??_);_(@_)"/>
    <numFmt numFmtId="181" formatCode="_(* #,##0.00000000_);_(* \(#,##0.00000000\);_(* &quot;-&quot;??_);_(@_)"/>
    <numFmt numFmtId="182" formatCode="#,##0.000000"/>
    <numFmt numFmtId="183" formatCode="0.000000"/>
    <numFmt numFmtId="184" formatCode="_-* #,##0.000\ _₫_-;\-* #,##0.000\ _₫_-;_-* &quot;-&quot;??????\ _₫_-;_-@_-"/>
    <numFmt numFmtId="185" formatCode="#,##0.000"/>
    <numFmt numFmtId="186" formatCode="_(* #,##0.000000_);_(* \(#,##0.000000\);_(* &quot;-&quot;??????_);_(@_)"/>
    <numFmt numFmtId="187" formatCode="_(* #,##0.00000_);_(* \(#,##0.00000\);_(* &quot;-&quot;?????_);_(@_)"/>
    <numFmt numFmtId="188" formatCode="_(* #,##0.0000_);_(* \(#,##0.0000\);_(* &quot;-&quot;??????_);_(@_)"/>
    <numFmt numFmtId="189" formatCode="#,##0.000000_);\(#,##0.000000\)"/>
    <numFmt numFmtId="190" formatCode="_-* #,##0.0000000\ _₫_-;\-* #,##0.0000000\ _₫_-;_-* &quot;-&quot;??\ _₫_-;_-@_-"/>
    <numFmt numFmtId="191" formatCode="#,##0_ ;\-#,##0\ "/>
    <numFmt numFmtId="192" formatCode="###\ ###\ ###\ ###\ ###"/>
    <numFmt numFmtId="193" formatCode="#,##0_ ;[Red]\-#,##0\ "/>
    <numFmt numFmtId="194" formatCode="_(* #,##0.0000000_);_(* \(#,##0.0000000\);_(* &quot;-&quot;???????_);_(@_)"/>
    <numFmt numFmtId="195" formatCode="_-* #,##0.00000\ _₫_-;\-* #,##0.00000\ _₫_-;_-* &quot;-&quot;??\ _₫_-;_-@_-"/>
    <numFmt numFmtId="196" formatCode="_-* #,##0.00000000\ _₫_-;\-* #,##0.00000000\ _₫_-;_-* &quot;-&quot;??\ _₫_-;_-@_-"/>
    <numFmt numFmtId="197" formatCode="_(* #,##0.0000000_);_(* \(#,##0.0000000\);_(* &quot;-&quot;??????_);_(@_)"/>
    <numFmt numFmtId="198" formatCode="0.0000000"/>
    <numFmt numFmtId="199" formatCode="_-* #,##0_-;\-* #,##0_-;_-* &quot;-&quot;_-;_-@_-"/>
    <numFmt numFmtId="200" formatCode="_-* #,##0.00_-;\-* #,##0.00_-;_-* &quot;-&quot;??_-;_-@_-"/>
    <numFmt numFmtId="201" formatCode="_-&quot;$&quot;* #,##0_-;\-&quot;$&quot;* #,##0_-;_-&quot;$&quot;* &quot;-&quot;_-;_-@_-"/>
    <numFmt numFmtId="202" formatCode="_-&quot;$&quot;* #,##0.00_-;\-&quot;$&quot;* #,##0.00_-;_-&quot;$&quot;* &quot;-&quot;??_-;_-@_-"/>
    <numFmt numFmtId="203" formatCode="00.000"/>
    <numFmt numFmtId="204" formatCode="&quot;￥&quot;#,##0;&quot;￥&quot;\-#,##0"/>
    <numFmt numFmtId="205" formatCode="0.0"/>
    <numFmt numFmtId="206" formatCode="&quot;$&quot;#,##0;[Red]\-&quot;$&quot;#,##0"/>
    <numFmt numFmtId="207" formatCode="###,###"/>
    <numFmt numFmtId="208" formatCode="#,##0.0"/>
    <numFmt numFmtId="209" formatCode="&quot;\&quot;#,##0;[Red]&quot;\&quot;&quot;\&quot;\-#,##0"/>
    <numFmt numFmtId="210" formatCode="_ &quot;\&quot;* #,##0_ ;_ &quot;\&quot;* \-#,##0_ ;_ &quot;\&quot;* &quot;-&quot;_ ;_ @_ "/>
    <numFmt numFmtId="211" formatCode="_ * #,##0_ ;_ * \-#,##0_ ;_ * &quot;-&quot;_ ;_ @_ "/>
    <numFmt numFmtId="212" formatCode="_ * #,##0.00_ ;_ * \-#,##0.00_ ;_ * &quot;-&quot;??_ ;_ @_ "/>
    <numFmt numFmtId="213" formatCode=";;"/>
    <numFmt numFmtId="214" formatCode="0.000_)"/>
    <numFmt numFmtId="215" formatCode="#,##0;\(#,##0\)"/>
    <numFmt numFmtId="216" formatCode="\$#,##0\ ;\(\$#,##0\)"/>
    <numFmt numFmtId="217" formatCode="\t0.00%"/>
    <numFmt numFmtId="218" formatCode="\t#\ ??/??"/>
    <numFmt numFmtId="219" formatCode="_ * #,##0.00_)_d_ ;_ * \(#,##0.00\)_d_ ;_ * &quot;-&quot;??_)_d_ ;_ @_ "/>
    <numFmt numFmtId="220" formatCode="0.000"/>
    <numFmt numFmtId="221" formatCode="#,##0\ &quot;$&quot;_);[Red]\(#,##0\ &quot;$&quot;\)"/>
    <numFmt numFmtId="222" formatCode="&quot;$&quot;###,0&quot;.&quot;00_);[Red]\(&quot;$&quot;###,0&quot;.&quot;00\)"/>
    <numFmt numFmtId="223" formatCode="&quot;VND&quot;#,##0_);[Red]\(&quot;VND&quot;#,##0\)"/>
    <numFmt numFmtId="224" formatCode="#,##0\ &quot;F&quot;;\-#,##0\ &quot;F&quot;"/>
    <numFmt numFmtId="225" formatCode="&quot;$&quot;\ #,##0.00;&quot;$&quot;\ \-#,##0.00"/>
    <numFmt numFmtId="226" formatCode="_-&quot;£&quot;* #,##0_-;\-&quot;£&quot;* #,##0_-;_-&quot;£&quot;* &quot;-&quot;_-;_-@_-"/>
    <numFmt numFmtId="227" formatCode="##.##%"/>
    <numFmt numFmtId="228" formatCode="#,##0.0_);\(#,##0.0\)"/>
    <numFmt numFmtId="229" formatCode="0.0%;[Red]\(0.0%\)"/>
    <numFmt numFmtId="230" formatCode="_ * #,##0.00_)&quot;£&quot;_ ;_ * \(#,##0.00\)&quot;£&quot;_ ;_ * &quot;-&quot;??_)&quot;£&quot;_ ;_ @_ "/>
    <numFmt numFmtId="231" formatCode="0.0%;\(0.0%\)"/>
    <numFmt numFmtId="232" formatCode="##,###.##"/>
    <numFmt numFmtId="233" formatCode="#0.##"/>
    <numFmt numFmtId="234" formatCode="_-* #,##0_-;\-* #,##0_-;_-* &quot;-&quot;??_-;_-@_-"/>
    <numFmt numFmtId="235" formatCode="#,##0.00\ &quot;F&quot;;[Red]\-#,##0.00\ &quot;F&quot;"/>
    <numFmt numFmtId="236" formatCode="##,##0%"/>
    <numFmt numFmtId="237" formatCode="#,###%"/>
    <numFmt numFmtId="238" formatCode="##.##"/>
    <numFmt numFmtId="239" formatCode="###.###"/>
    <numFmt numFmtId="240" formatCode="##,###.####"/>
    <numFmt numFmtId="241" formatCode="##,##0.##"/>
    <numFmt numFmtId="242" formatCode="_-* #,##0\ _F_B_-;\-* #,##0\ _F_B_-;_-* &quot;-&quot;\ _F_B_-;_-@_-"/>
    <numFmt numFmtId="243" formatCode="#,##0.000_);\(#,##0.000\)"/>
    <numFmt numFmtId="244" formatCode="_-* #,##0.0\ _F_-;\-* #,##0.0\ _F_-;_-* &quot;-&quot;??\ _F_-;_-@_-"/>
    <numFmt numFmtId="245" formatCode="#,##0.00\ \ "/>
    <numFmt numFmtId="246" formatCode="&quot;€&quot;#,##0_);\(&quot;€&quot;#,##0\)"/>
    <numFmt numFmtId="247" formatCode="#,##0\ &quot;€&quot;;\-#,##0\ &quot;€&quot;"/>
    <numFmt numFmtId="248" formatCode="#,##0\ &quot;F&quot;;[Red]\-#,##0\ &quot;F&quot;"/>
    <numFmt numFmtId="249" formatCode="_-* #,##0.00\ _€_-;\-* #,##0.00\ _€_-;_-* &quot;-&quot;??\ _€_-;_-@_-"/>
    <numFmt numFmtId="250" formatCode="&quot;\&quot;#&quot;,&quot;##0&quot;.&quot;00;[Red]&quot;\&quot;\-#&quot;,&quot;##0&quot;.&quot;00"/>
    <numFmt numFmtId="251" formatCode="&quot;\&quot;#&quot;,&quot;##0;[Red]&quot;\&quot;\-#&quot;,&quot;##0"/>
    <numFmt numFmtId="252" formatCode="&quot;,&quot;###,0&quot;.&quot;00_);\(&quot;,&quot;###,0&quot;.&quot;00\)"/>
    <numFmt numFmtId="253" formatCode="&quot;,&quot;###,0&quot;.&quot;00_);[Red]\(&quot;,&quot;###,0&quot;.&quot;00\)"/>
    <numFmt numFmtId="254" formatCode="_(&quot;,&quot;* #,##0_);_(&quot;,&quot;* \(#,##0\);_(&quot;,&quot;* &quot;-&quot;_);_(@_)"/>
    <numFmt numFmtId="255" formatCode="_(* ###,0&quot;.&quot;00_);_(* \(###,0&quot;.&quot;00\);_(* &quot;-&quot;??_);_(@_)"/>
    <numFmt numFmtId="256" formatCode="_(&quot;$&quot;* ###,0&quot;.&quot;00_);_(&quot;$&quot;* \(###,0&quot;.&quot;00\);_(&quot;$&quot;* &quot;-&quot;??_);_(@_)"/>
    <numFmt numFmtId="257" formatCode="&quot;,&quot;#&quot;,&quot;##0&quot;.&quot;00_);\(&quot;,&quot;#&quot;,&quot;##0&quot;.&quot;00\)"/>
    <numFmt numFmtId="258" formatCode="&quot;,&quot;#&quot;,&quot;##0&quot;.&quot;00_);[Red]\(&quot;,&quot;#&quot;,&quot;##0&quot;.&quot;00\)"/>
    <numFmt numFmtId="259" formatCode="0.00000000000E+00;\?"/>
    <numFmt numFmtId="260" formatCode="&quot;£&quot;#,##0;[Red]\-&quot;£&quot;#,##0"/>
    <numFmt numFmtId="261" formatCode="[$€-2]\ #,##0.00_);[Red]\([$€-2]\ #,##0.00\)"/>
    <numFmt numFmtId="262" formatCode="##"/>
    <numFmt numFmtId="263" formatCode="###\ ###\ ###\ ###\ ###\ ###"/>
    <numFmt numFmtId="264" formatCode="#######\ ###\ ###.##"/>
    <numFmt numFmtId="265" formatCode="&quot;\&quot;#,##0.00;[Red]&quot;\&quot;&quot;\&quot;&quot;\&quot;&quot;\&quot;&quot;\&quot;&quot;\&quot;\-#,##0.00"/>
    <numFmt numFmtId="266" formatCode="#.##00"/>
    <numFmt numFmtId="267" formatCode="###0_);[Red]\(###0\)"/>
    <numFmt numFmtId="268" formatCode="_(* #.#####._);_(* \(#.#####.\);_(* &quot;-&quot;??_);_(@@"/>
    <numFmt numFmtId="269" formatCode="_(* #.#######._);_(* \(#.#######.\);_(* &quot;-&quot;??_);_(@@"/>
    <numFmt numFmtId="270" formatCode="0.00000"/>
    <numFmt numFmtId="271" formatCode="_(* #.######._);_(* \(#.######.\);_(* &quot;-&quot;??_);_(@@"/>
    <numFmt numFmtId="272" formatCode="d/m/yy;@"/>
    <numFmt numFmtId="273" formatCode="_(\§\g\ #,##0_);_(\§\g\ \(#,##0\);_(\§\g\ &quot;-&quot;??_);_(@_)"/>
    <numFmt numFmtId="274" formatCode="_(\§\g\ #,##0_);_(\§\g\ \(#,##0\);_(\§\g\ &quot;-&quot;_);_(@_)"/>
    <numFmt numFmtId="275" formatCode="\§\g#,##0_);\(\§\g#,##0\)"/>
    <numFmt numFmtId="276" formatCode="0&quot;.&quot;0000"/>
    <numFmt numFmtId="277" formatCode="&quot;\&quot;#,##0;[Red]\-&quot;\&quot;#,##0"/>
    <numFmt numFmtId="278" formatCode="&quot;\&quot;#,##0.00;\-&quot;\&quot;#,##0.00"/>
    <numFmt numFmtId="279" formatCode="0.00_)"/>
    <numFmt numFmtId="280" formatCode="#,##0&quot;£&quot;_);[Red]\(#,##0&quot;£&quot;\)"/>
    <numFmt numFmtId="281" formatCode="_ * #,##0_)\ &quot;.&quot;_ ;_ * \(#,##0\)\ &quot;.&quot;_ ;_ * &quot;-&quot;_)\ &quot;.&quot;_ ;_ @_ "/>
    <numFmt numFmtId="282" formatCode="_ * #,##0.00_)\ _$_ ;_ * \(#,##0.00\)\ _$_ ;_ * &quot;-&quot;??_)\ _$_ ;_ @_ "/>
    <numFmt numFmtId="283" formatCode="_-* #,##0.00\ _F_-;\-* #,##0.00\ _F_-;_-* &quot;-&quot;??\ _F_-;_-@_-"/>
    <numFmt numFmtId="284" formatCode="&quot;£&quot;#,##0;\-&quot;£&quot;#,##0"/>
    <numFmt numFmtId="285" formatCode="_-&quot;€&quot;* #,##0_-;\-&quot;€&quot;* #,##0_-;_-&quot;€&quot;* &quot;-&quot;_-;_-@_-"/>
    <numFmt numFmtId="286" formatCode="_-* #,##0\ &quot;€&quot;_-;\-* #,##0\ &quot;€&quot;_-;_-* &quot;-&quot;\ &quot;€&quot;_-;_-@_-"/>
    <numFmt numFmtId="287" formatCode="_-* #,##0\ _F_-;\-* #,##0\ _F_-;_-* &quot;-&quot;\ _F_-;_-@_-"/>
    <numFmt numFmtId="288" formatCode="_-&quot;ñ&quot;* #,##0_-;\-&quot;ñ&quot;* #,##0_-;_-&quot;ñ&quot;* &quot;-&quot;_-;_-@_-"/>
    <numFmt numFmtId="289" formatCode="_-* #,##0.00\ _ñ_-;\-* #,##0.00\ _ñ_-;_-* &quot;-&quot;??\ _ñ_-;_-@_-"/>
    <numFmt numFmtId="290" formatCode="_-* #,##0.00\ _ñ_-;_-* #,##0.00\ _ñ\-;_-* &quot;-&quot;??\ _ñ_-;_-@_-"/>
    <numFmt numFmtId="291" formatCode="_-* #,##0\ &quot;F&quot;_-;\-* #,##0\ &quot;F&quot;_-;_-* &quot;-&quot;\ &quot;F&quot;_-;_-@_-"/>
    <numFmt numFmtId="292" formatCode="_(&quot;$&quot;\ * #,##0_);_(&quot;$&quot;\ * \(#,##0\);_(&quot;$&quot;\ * &quot;-&quot;_);_(@_)"/>
    <numFmt numFmtId="293" formatCode="_-* #,##0\ &quot;ñ&quot;_-;\-* #,##0\ &quot;ñ&quot;_-;_-* &quot;-&quot;\ &quot;ñ&quot;_-;_-@_-"/>
    <numFmt numFmtId="294" formatCode="_-* #,##0\ _ñ_-;\-* #,##0\ _ñ_-;_-* &quot;-&quot;\ _ñ_-;_-@_-"/>
    <numFmt numFmtId="295" formatCode="_-* #,##0\ _ñ_-;_-* #,##0\ _ñ\-;_-* &quot;-&quot;\ _ñ_-;_-@_-"/>
    <numFmt numFmtId="296" formatCode="_ * #,##0_)\ &quot;F&quot;_ ;_ * \(#,##0\)\ &quot;F&quot;_ ;_ * &quot;-&quot;_)\ &quot;F&quot;_ ;_ @_ "/>
    <numFmt numFmtId="297" formatCode="&quot;£&quot;#,##0.00;\-&quot;£&quot;#,##0.00"/>
    <numFmt numFmtId="298" formatCode="_ * #,##0_)\ _$_ ;_ * \(#,##0\)\ _$_ ;_ * &quot;-&quot;_)\ _$_ ;_ @_ "/>
    <numFmt numFmtId="299" formatCode="_-&quot;F&quot;* #,##0_-;\-&quot;F&quot;* #,##0_-;_-&quot;F&quot;* &quot;-&quot;_-;_-@_-"/>
    <numFmt numFmtId="300" formatCode="_-* #,##0.00\ &quot;F&quot;_-;\-* #,##0.00\ &quot;F&quot;_-;_-* &quot;-&quot;??\ &quot;F&quot;_-;_-@_-"/>
    <numFmt numFmtId="301" formatCode="_ * #,##0_)_đ_ ;_ * \(#,##0\)_đ_ ;_ * &quot;-&quot;_)_đ_ ;_ @_ "/>
    <numFmt numFmtId="302" formatCode="_-* #,##0.00\ _V_N_D_-;\-* #,##0.00\ _V_N_D_-;_-* &quot;-&quot;??\ _V_N_D_-;_-@_-"/>
    <numFmt numFmtId="303" formatCode="&quot;True&quot;;&quot;True&quot;;&quot;False&quot;"/>
    <numFmt numFmtId="304" formatCode="_ &quot;R&quot;\ * #,##0_ ;_ &quot;R&quot;\ * \-#,##0_ ;_ &quot;R&quot;\ * &quot;-&quot;_ ;_ @_ "/>
    <numFmt numFmtId="305" formatCode="_-&quot;VND&quot;* #,##0_-;\-&quot;VND&quot;* #,##0_-;_-&quot;VND&quot;* &quot;-&quot;_-;_-@_-"/>
    <numFmt numFmtId="306" formatCode="_(&quot;Rp&quot;* #,##0.00_);_(&quot;Rp&quot;* \(#,##0.00\);_(&quot;Rp&quot;* &quot;-&quot;??_);_(@_)"/>
    <numFmt numFmtId="307" formatCode="#,##0.00\ &quot;FB&quot;;[Red]\-#,##0.00\ &quot;FB&quot;"/>
    <numFmt numFmtId="308" formatCode="#,##0\ &quot;$&quot;;\-#,##0\ &quot;$&quot;"/>
    <numFmt numFmtId="309" formatCode="&quot;$&quot;#,##0;\-&quot;$&quot;#,##0"/>
    <numFmt numFmtId="310" formatCode="#,##0_);\-#,##0_)"/>
    <numFmt numFmtId="311" formatCode="#,###;\-#,###;&quot;&quot;;_(@_)"/>
    <numFmt numFmtId="312" formatCode="#,##0\ &quot;$&quot;_);\(#,##0\ &quot;$&quot;\)"/>
    <numFmt numFmtId="313" formatCode="#,##0.00_);\-#,##0.00_)"/>
    <numFmt numFmtId="314" formatCode="#"/>
    <numFmt numFmtId="315" formatCode="&quot;¡Ì&quot;#,##0;[Red]\-&quot;¡Ì&quot;#,##0"/>
    <numFmt numFmtId="316" formatCode="&quot;.&quot;#,##0.00_);[Red]\(&quot;.&quot;#,##0.00\)"/>
    <numFmt numFmtId="317" formatCode="_ * #,##0_ ;_ * \-#,##0_ ;_ * &quot;-&quot;??_ ;_ @_ "/>
    <numFmt numFmtId="318" formatCode="_(* #.##0.00_);_(* \(#.##0.00\);_(* &quot;-&quot;??_);_(@_)"/>
    <numFmt numFmtId="319" formatCode="#,##0.00\ \ \ \ "/>
    <numFmt numFmtId="320" formatCode="_ * #.##._ ;_ * \-#.##._ ;_ * &quot;-&quot;??_ ;_ @_ⴆ"/>
    <numFmt numFmtId="321" formatCode="_-* #,##0\ _F_-;\-* #,##0\ _F_-;_-* &quot;-&quot;??\ _F_-;_-@_-"/>
    <numFmt numFmtId="322" formatCode="_(* #,##0.000_);_(* \(#,##0.000\);_(* &quot;-&quot;???_);_(@_)"/>
    <numFmt numFmtId="323" formatCode="&quot;.&quot;#,##0.00_);\(&quot;.&quot;#,##0.00\)"/>
    <numFmt numFmtId="324" formatCode="&quot;\&quot;#,##0;\-&quot;\&quot;#,##0"/>
    <numFmt numFmtId="325" formatCode="&quot;\&quot;#,##0;&quot;\&quot;&quot;\&quot;&quot;\&quot;&quot;\&quot;&quot;\&quot;&quot;\&quot;&quot;\&quot;\-#,##0"/>
    <numFmt numFmtId="326" formatCode="m/d"/>
    <numFmt numFmtId="327" formatCode="&quot;?&quot;#,##0;&quot;?&quot;\-#,##0"/>
    <numFmt numFmtId="328" formatCode="#,##0\ &quot;þ&quot;;[Red]\-#,##0\ &quot;þ&quot;"/>
    <numFmt numFmtId="329" formatCode="&quot;\&quot;#,##0;[Red]&quot;\&quot;\!\-&quot;\&quot;#,##0"/>
    <numFmt numFmtId="330" formatCode="#&quot;,&quot;##0.00\ &quot;F&quot;;[Red]\-#&quot;,&quot;##0.00\ &quot;F&quot;"/>
    <numFmt numFmtId="331" formatCode="###&quot;,&quot;0&quot;,&quot;00\ &quot;F&quot;;[Red]\-###&quot;,&quot;0&quot;,&quot;00\ &quot;F&quot;"/>
    <numFmt numFmtId="332" formatCode="###&quot;,&quot;0&quot;.&quot;00\ &quot;F&quot;;[Red]\-###&quot;,&quot;0&quot;.&quot;00\ &quot;F&quot;"/>
    <numFmt numFmtId="333" formatCode="_-* #,##0_L_e_k_-;\-* #,##0_L_e_k_-;_-* &quot;-&quot;??_L_e_k_-;_-@_-"/>
    <numFmt numFmtId="334" formatCode="#&quot;,&quot;##0\ &quot;F&quot;;[Red]\-#&quot;,&quot;##0\ &quot;F&quot;"/>
    <numFmt numFmtId="335" formatCode="#&quot;,&quot;###"/>
    <numFmt numFmtId="336" formatCode="_-* #&quot;,&quot;##0\ &quot;F&quot;_-;\-* #&quot;,&quot;##0\ &quot;F&quot;_-;_-* &quot;-&quot;\ &quot;F&quot;_-;_-@_-"/>
    <numFmt numFmtId="337" formatCode="###&quot;,&quot;0&quot;.&quot;00\ &quot;F&quot;;\-###&quot;,&quot;0&quot;.&quot;00\ &quot;F&quot;"/>
    <numFmt numFmtId="338" formatCode="_(* #,##0.000000_);_(* \(#,##0.000000\);_(* &quot;-&quot;?????_);_(@_)"/>
  </numFmts>
  <fonts count="381">
    <font>
      <sz val="11"/>
      <color indexed="8"/>
      <name val="times new roman"/>
      <family val="2"/>
      <charset val="163"/>
    </font>
    <font>
      <sz val="12"/>
      <color theme="1"/>
      <name val="Times New Roman"/>
      <family val="2"/>
    </font>
    <font>
      <sz val="12"/>
      <color theme="1"/>
      <name val="Times New Roman"/>
      <family val="2"/>
    </font>
    <font>
      <b/>
      <sz val="12"/>
      <name val="Times New Roman"/>
      <family val="1"/>
    </font>
    <font>
      <i/>
      <sz val="12"/>
      <name val="Times New Roman"/>
      <family val="1"/>
    </font>
    <font>
      <sz val="12"/>
      <color indexed="8"/>
      <name val="Times New Roman"/>
      <family val="1"/>
    </font>
    <font>
      <i/>
      <sz val="12"/>
      <color indexed="8"/>
      <name val="Times New Roman"/>
      <family val="1"/>
    </font>
    <font>
      <sz val="12"/>
      <name val="Times New Roman"/>
      <family val="1"/>
    </font>
    <font>
      <u/>
      <sz val="12"/>
      <name val="Times New Roman"/>
      <family val="1"/>
    </font>
    <font>
      <b/>
      <i/>
      <sz val="12"/>
      <name val="Times New Roman"/>
      <family val="1"/>
    </font>
    <font>
      <b/>
      <sz val="14"/>
      <name val="Times New Roman"/>
      <family val="1"/>
    </font>
    <font>
      <sz val="12"/>
      <name val=".VnTime"/>
      <family val="2"/>
    </font>
    <font>
      <sz val="12"/>
      <name val=".VnArial Narrow"/>
      <family val="2"/>
    </font>
    <font>
      <sz val="14"/>
      <name val="Times New Roman"/>
      <family val="1"/>
    </font>
    <font>
      <b/>
      <sz val="9"/>
      <color indexed="81"/>
      <name val="Tahoma"/>
      <family val="2"/>
    </font>
    <font>
      <sz val="9"/>
      <color indexed="81"/>
      <name val="Tahoma"/>
      <family val="2"/>
    </font>
    <font>
      <sz val="12"/>
      <name val=".VnTime"/>
      <family val="2"/>
    </font>
    <font>
      <i/>
      <sz val="12"/>
      <name val="Times New Roman"/>
      <family val="1"/>
      <charset val="163"/>
    </font>
    <font>
      <b/>
      <sz val="12"/>
      <name val="Times New Roman"/>
      <family val="1"/>
      <charset val="163"/>
    </font>
    <font>
      <sz val="10"/>
      <name val="Times New Roman"/>
      <family val="1"/>
      <charset val="163"/>
    </font>
    <font>
      <sz val="11"/>
      <name val="Times New Roman"/>
      <family val="1"/>
      <charset val="163"/>
    </font>
    <font>
      <b/>
      <sz val="11"/>
      <name val="Times New Roman"/>
      <family val="1"/>
      <charset val="163"/>
    </font>
    <font>
      <b/>
      <sz val="12"/>
      <name val="Arial"/>
      <family val="2"/>
    </font>
    <font>
      <b/>
      <sz val="10"/>
      <name val="Times New Roman"/>
      <family val="1"/>
    </font>
    <font>
      <sz val="11"/>
      <color indexed="8"/>
      <name val="times new roman"/>
      <family val="2"/>
      <charset val="163"/>
    </font>
    <font>
      <u/>
      <sz val="11"/>
      <color indexed="12"/>
      <name val="times new roman"/>
      <family val="2"/>
      <charset val="163"/>
    </font>
    <font>
      <sz val="12"/>
      <color indexed="8"/>
      <name val="Times New Roman"/>
      <family val="1"/>
    </font>
    <font>
      <b/>
      <sz val="12"/>
      <color indexed="8"/>
      <name val="Times New Roman"/>
      <family val="1"/>
    </font>
    <font>
      <b/>
      <i/>
      <sz val="12"/>
      <color indexed="8"/>
      <name val="Times New Roman"/>
      <family val="1"/>
    </font>
    <font>
      <b/>
      <sz val="11"/>
      <color indexed="8"/>
      <name val="Times New Roman"/>
      <family val="1"/>
    </font>
    <font>
      <b/>
      <sz val="12"/>
      <color indexed="8"/>
      <name val="Times New Roman"/>
      <family val="1"/>
      <charset val="163"/>
    </font>
    <font>
      <b/>
      <sz val="11"/>
      <color indexed="8"/>
      <name val="Times New Roman"/>
      <family val="1"/>
      <charset val="163"/>
    </font>
    <font>
      <sz val="8"/>
      <name val="times new roman"/>
      <family val="2"/>
      <charset val="163"/>
    </font>
    <font>
      <sz val="10"/>
      <color indexed="8"/>
      <name val="Times New Roman"/>
      <family val="1"/>
      <charset val="163"/>
    </font>
    <font>
      <sz val="10"/>
      <color indexed="8"/>
      <name val="MS Sans Serif"/>
      <family val="2"/>
    </font>
    <font>
      <b/>
      <sz val="14"/>
      <name val="Times New Roman"/>
      <family val="1"/>
      <charset val="163"/>
    </font>
    <font>
      <i/>
      <sz val="10"/>
      <name val="Times New Roman"/>
      <family val="1"/>
      <charset val="163"/>
    </font>
    <font>
      <sz val="11"/>
      <color indexed="8"/>
      <name val="Times New Roman"/>
      <family val="1"/>
      <charset val="163"/>
    </font>
    <font>
      <sz val="11"/>
      <color indexed="8"/>
      <name val="Calibri"/>
      <family val="2"/>
      <charset val="163"/>
    </font>
    <font>
      <sz val="9"/>
      <name val="Times New Roman"/>
      <family val="1"/>
    </font>
    <font>
      <sz val="11"/>
      <name val="times new roman"/>
      <family val="2"/>
      <charset val="163"/>
    </font>
    <font>
      <b/>
      <sz val="8"/>
      <name val="Times New Roman"/>
      <family val="1"/>
    </font>
    <font>
      <sz val="12"/>
      <color theme="1"/>
      <name val="Times New Roman"/>
      <family val="2"/>
    </font>
    <font>
      <sz val="11"/>
      <color theme="1"/>
      <name val="Arial"/>
      <family val="2"/>
    </font>
    <font>
      <sz val="10"/>
      <color theme="1"/>
      <name val="Times New Roman"/>
      <family val="1"/>
    </font>
    <font>
      <sz val="12"/>
      <color theme="1"/>
      <name val="Times New Roman"/>
      <family val="1"/>
    </font>
    <font>
      <sz val="11"/>
      <color theme="1"/>
      <name val="Times New Roman"/>
      <family val="1"/>
    </font>
    <font>
      <b/>
      <sz val="10"/>
      <color theme="1"/>
      <name val="Times New Roman"/>
      <family val="1"/>
    </font>
    <font>
      <b/>
      <sz val="12"/>
      <color theme="1"/>
      <name val="Times New Roman"/>
      <family val="1"/>
    </font>
    <font>
      <i/>
      <sz val="12"/>
      <color theme="1"/>
      <name val="Times New Roman"/>
      <family val="1"/>
    </font>
    <font>
      <b/>
      <sz val="14"/>
      <color theme="1"/>
      <name val="Times New Roman"/>
      <family val="1"/>
    </font>
    <font>
      <sz val="11"/>
      <name val="Times New Roman"/>
      <family val="1"/>
    </font>
    <font>
      <sz val="8"/>
      <name val="Times New Roman"/>
      <family val="1"/>
    </font>
    <font>
      <sz val="6"/>
      <name val="Times New Roman"/>
      <family val="1"/>
    </font>
    <font>
      <sz val="10"/>
      <name val="Times New Roman"/>
      <family val="1"/>
    </font>
    <font>
      <b/>
      <sz val="11"/>
      <name val="Times New Roman"/>
      <family val="1"/>
    </font>
    <font>
      <b/>
      <sz val="9"/>
      <name val="Times New Roman"/>
      <family val="1"/>
    </font>
    <font>
      <sz val="7"/>
      <name val="Times New Roman"/>
      <family val="1"/>
    </font>
    <font>
      <i/>
      <sz val="9"/>
      <name val="Times New Roman"/>
      <family val="1"/>
    </font>
    <font>
      <sz val="9"/>
      <color theme="1"/>
      <name val="Times New Roman"/>
      <family val="1"/>
    </font>
    <font>
      <b/>
      <sz val="11"/>
      <color theme="1"/>
      <name val="Times New Roman"/>
      <family val="1"/>
    </font>
    <font>
      <sz val="8"/>
      <color theme="1"/>
      <name val="Times New Roman"/>
      <family val="1"/>
    </font>
    <font>
      <b/>
      <sz val="9"/>
      <color theme="1"/>
      <name val="Times New Roman"/>
      <family val="1"/>
    </font>
    <font>
      <sz val="14"/>
      <color theme="1"/>
      <name val="Times New Roman"/>
      <family val="1"/>
    </font>
    <font>
      <sz val="9"/>
      <name val="times new roman"/>
      <family val="2"/>
      <charset val="163"/>
    </font>
    <font>
      <sz val="10"/>
      <name val="Arial"/>
      <family val="2"/>
    </font>
    <font>
      <b/>
      <sz val="13"/>
      <name val="Times New Roman"/>
      <family val="1"/>
    </font>
    <font>
      <sz val="11"/>
      <color indexed="8"/>
      <name val="Times New Roman"/>
      <family val="1"/>
    </font>
    <font>
      <sz val="11"/>
      <color theme="1"/>
      <name val="Calibri"/>
      <family val="2"/>
      <scheme val="minor"/>
    </font>
    <font>
      <sz val="11"/>
      <color theme="1"/>
      <name val="times new roman"/>
      <family val="2"/>
      <charset val="163"/>
    </font>
    <font>
      <i/>
      <sz val="14"/>
      <color theme="1"/>
      <name val="Times New Roman"/>
      <family val="1"/>
    </font>
    <font>
      <i/>
      <sz val="11"/>
      <name val="Times New Roman"/>
      <family val="1"/>
    </font>
    <font>
      <sz val="6"/>
      <name val="times new roman"/>
      <family val="2"/>
      <charset val="163"/>
    </font>
    <font>
      <i/>
      <sz val="10"/>
      <name val="Times New Roman"/>
      <family val="1"/>
    </font>
    <font>
      <b/>
      <sz val="16"/>
      <name val="Times New Roman"/>
      <family val="1"/>
    </font>
    <font>
      <b/>
      <i/>
      <sz val="14"/>
      <name val="Times New Roman"/>
      <family val="1"/>
    </font>
    <font>
      <sz val="11"/>
      <color theme="1"/>
      <name val="Calibri"/>
      <family val="2"/>
      <charset val="163"/>
      <scheme val="minor"/>
    </font>
    <font>
      <i/>
      <sz val="6"/>
      <name val="Times New Roman"/>
      <family val="1"/>
    </font>
    <font>
      <b/>
      <i/>
      <sz val="10"/>
      <name val="Times New Roman"/>
      <family val="1"/>
    </font>
    <font>
      <sz val="12"/>
      <color indexed="8"/>
      <name val="Times New Roman"/>
      <family val="2"/>
    </font>
    <font>
      <u/>
      <sz val="11"/>
      <color theme="10"/>
      <name val="times new roman"/>
      <family val="2"/>
      <charset val="163"/>
    </font>
    <font>
      <sz val="14"/>
      <name val=".VnTime"/>
      <family val="2"/>
    </font>
    <font>
      <i/>
      <sz val="14"/>
      <name val="Times New Roman"/>
      <family val="1"/>
    </font>
    <font>
      <sz val="16"/>
      <name val="Times New Roman"/>
      <family val="1"/>
    </font>
    <font>
      <sz val="14"/>
      <color indexed="8"/>
      <name val="Times New Roman"/>
      <family val="1"/>
    </font>
    <font>
      <b/>
      <sz val="16"/>
      <color theme="1"/>
      <name val="Times New Roman"/>
      <family val="1"/>
    </font>
    <font>
      <sz val="16"/>
      <color theme="1"/>
      <name val="Times New Roman"/>
      <family val="1"/>
    </font>
    <font>
      <sz val="10"/>
      <color rgb="FFFF0000"/>
      <name val="Times New Roman"/>
      <family val="1"/>
    </font>
    <font>
      <sz val="11"/>
      <color rgb="FFFF0000"/>
      <name val="Times New Roman"/>
      <family val="1"/>
    </font>
    <font>
      <b/>
      <sz val="14"/>
      <color theme="1"/>
      <name val="Times New Roman"/>
      <family val="1"/>
      <charset val="163"/>
    </font>
    <font>
      <b/>
      <sz val="12"/>
      <color theme="1"/>
      <name val="Times New Roman"/>
      <family val="1"/>
      <charset val="163"/>
    </font>
    <font>
      <sz val="14"/>
      <color theme="1"/>
      <name val="Times New Roman"/>
      <family val="1"/>
      <charset val="163"/>
    </font>
    <font>
      <b/>
      <i/>
      <sz val="10"/>
      <color theme="1"/>
      <name val="Times New Roman"/>
      <family val="1"/>
    </font>
    <font>
      <i/>
      <sz val="14"/>
      <color theme="1"/>
      <name val="Times New Roman"/>
      <family val="1"/>
      <charset val="163"/>
    </font>
    <font>
      <sz val="12"/>
      <color theme="1"/>
      <name val="Times New Roman"/>
      <family val="1"/>
      <charset val="163"/>
    </font>
    <font>
      <b/>
      <i/>
      <sz val="12"/>
      <color theme="1"/>
      <name val="Times New Roman"/>
      <family val="1"/>
    </font>
    <font>
      <i/>
      <sz val="11"/>
      <color theme="1"/>
      <name val="Times New Roman"/>
      <family val="1"/>
    </font>
    <font>
      <sz val="6"/>
      <color rgb="FFFF0000"/>
      <name val="Times New Roman"/>
      <family val="1"/>
    </font>
    <font>
      <sz val="6"/>
      <color rgb="FFFF0000"/>
      <name val="times new roman"/>
      <family val="2"/>
      <charset val="163"/>
    </font>
    <font>
      <sz val="6"/>
      <color theme="1"/>
      <name val="Times New Roman"/>
      <family val="1"/>
    </font>
    <font>
      <i/>
      <sz val="6"/>
      <name val="times new roman"/>
      <family val="2"/>
      <charset val="163"/>
    </font>
    <font>
      <b/>
      <sz val="8"/>
      <color indexed="8"/>
      <name val="times new roman"/>
      <family val="1"/>
    </font>
    <font>
      <b/>
      <sz val="11"/>
      <color rgb="FFFF0000"/>
      <name val="times new roman"/>
      <family val="2"/>
      <charset val="163"/>
    </font>
    <font>
      <b/>
      <sz val="8"/>
      <color rgb="FFFF0000"/>
      <name val="times new roman"/>
      <family val="2"/>
      <charset val="163"/>
    </font>
    <font>
      <sz val="8"/>
      <color indexed="8"/>
      <name val="Times New Roman"/>
      <family val="1"/>
    </font>
    <font>
      <sz val="6"/>
      <name val="Times New Roman"/>
      <family val="2"/>
    </font>
    <font>
      <b/>
      <sz val="6"/>
      <color indexed="8"/>
      <name val="Times New Roman"/>
      <family val="2"/>
    </font>
    <font>
      <sz val="6"/>
      <color rgb="FFFF0000"/>
      <name val="Times New Roman"/>
      <family val="2"/>
    </font>
    <font>
      <b/>
      <sz val="11"/>
      <name val="times new roman"/>
      <family val="2"/>
      <charset val="163"/>
    </font>
    <font>
      <sz val="6"/>
      <color theme="1"/>
      <name val="Times New Roman"/>
      <family val="2"/>
    </font>
    <font>
      <b/>
      <sz val="6"/>
      <color theme="1"/>
      <name val="times new roman"/>
      <family val="1"/>
    </font>
    <font>
      <sz val="6"/>
      <color indexed="8"/>
      <name val="Times New Roman"/>
      <family val="2"/>
    </font>
    <font>
      <i/>
      <sz val="16"/>
      <color theme="1"/>
      <name val="Times New Roman"/>
      <family val="1"/>
    </font>
    <font>
      <sz val="12"/>
      <name val="Times New Roman"/>
      <family val="1"/>
      <charset val="163"/>
    </font>
    <font>
      <b/>
      <sz val="9"/>
      <color rgb="FFFF0000"/>
      <name val="Times New Roman"/>
      <family val="1"/>
    </font>
    <font>
      <sz val="9"/>
      <color rgb="FFFF0000"/>
      <name val="Times New Roman"/>
      <family val="1"/>
    </font>
    <font>
      <b/>
      <sz val="11"/>
      <color rgb="FFFF0000"/>
      <name val="Times New Roman"/>
      <family val="1"/>
    </font>
    <font>
      <b/>
      <sz val="8"/>
      <color theme="1"/>
      <name val="Times New Roman"/>
      <family val="1"/>
    </font>
    <font>
      <b/>
      <sz val="11"/>
      <color theme="1"/>
      <name val="Times New Roman"/>
      <family val="1"/>
      <charset val="163"/>
    </font>
    <font>
      <b/>
      <sz val="9"/>
      <color theme="1"/>
      <name val="Times New Roman"/>
      <family val="1"/>
      <charset val="163"/>
    </font>
    <font>
      <b/>
      <sz val="20"/>
      <color theme="1"/>
      <name val="Times New Roman"/>
      <family val="1"/>
    </font>
    <font>
      <sz val="12"/>
      <color indexed="8"/>
      <name val="Times New Roman"/>
      <family val="1"/>
      <charset val="163"/>
    </font>
    <font>
      <sz val="11"/>
      <color rgb="FFFF0000"/>
      <name val="Times New Roman"/>
      <family val="1"/>
      <charset val="163"/>
    </font>
    <font>
      <i/>
      <sz val="10"/>
      <color indexed="8"/>
      <name val="Times New Roman"/>
      <family val="1"/>
    </font>
    <font>
      <i/>
      <sz val="10"/>
      <color theme="1"/>
      <name val="Times New Roman"/>
      <family val="1"/>
    </font>
    <font>
      <sz val="11"/>
      <color rgb="FF333333"/>
      <name val="Times New Roman"/>
      <family val="1"/>
    </font>
    <font>
      <b/>
      <sz val="14"/>
      <color indexed="8"/>
      <name val="Times New Roman"/>
      <family val="1"/>
    </font>
    <font>
      <sz val="20"/>
      <name val="Times New Roman"/>
      <family val="1"/>
    </font>
    <font>
      <sz val="13"/>
      <color theme="1"/>
      <name val="Times New Roman"/>
      <family val="1"/>
    </font>
    <font>
      <b/>
      <i/>
      <sz val="11"/>
      <color theme="1"/>
      <name val="Times New Roman"/>
      <family val="1"/>
      <charset val="163"/>
    </font>
    <font>
      <sz val="14"/>
      <color indexed="8"/>
      <name val="Times New Roman"/>
      <family val="1"/>
      <charset val="163"/>
    </font>
    <font>
      <b/>
      <sz val="14"/>
      <color indexed="8"/>
      <name val="Times New Roman"/>
      <family val="1"/>
      <charset val="163"/>
    </font>
    <font>
      <b/>
      <sz val="9.5"/>
      <name val="Times New Roman"/>
      <family val="1"/>
    </font>
    <font>
      <sz val="9.5"/>
      <name val="Times New Roman"/>
      <family val="1"/>
    </font>
    <font>
      <i/>
      <sz val="9.5"/>
      <name val="Times New Roman"/>
      <family val="1"/>
    </font>
    <font>
      <i/>
      <sz val="8"/>
      <name val="Times New Roman"/>
      <family val="1"/>
    </font>
    <font>
      <i/>
      <sz val="11"/>
      <color indexed="8"/>
      <name val="Times New Roman"/>
      <family val="1"/>
    </font>
    <font>
      <b/>
      <sz val="10"/>
      <color rgb="FFFF0000"/>
      <name val="Times New Roman"/>
      <family val="1"/>
    </font>
    <font>
      <i/>
      <sz val="10"/>
      <color theme="1"/>
      <name val="Arial"/>
      <family val="2"/>
      <charset val="163"/>
    </font>
    <font>
      <b/>
      <sz val="5"/>
      <color theme="1"/>
      <name val="Times New Roman"/>
      <family val="1"/>
    </font>
    <font>
      <i/>
      <sz val="6"/>
      <color theme="1"/>
      <name val="Times New Roman"/>
      <family val="1"/>
    </font>
    <font>
      <sz val="7"/>
      <color theme="1"/>
      <name val="Times New Roman"/>
      <family val="1"/>
    </font>
    <font>
      <b/>
      <sz val="7"/>
      <color theme="1"/>
      <name val="times new roman"/>
      <family val="1"/>
    </font>
    <font>
      <sz val="5"/>
      <color theme="1"/>
      <name val="Times New Roman"/>
      <family val="1"/>
    </font>
    <font>
      <i/>
      <sz val="8"/>
      <color theme="1"/>
      <name val="Times New Roman"/>
      <family val="1"/>
    </font>
    <font>
      <i/>
      <sz val="7"/>
      <color theme="1"/>
      <name val="Times New Roman"/>
      <family val="1"/>
    </font>
    <font>
      <b/>
      <i/>
      <sz val="6"/>
      <color theme="1"/>
      <name val="Times New Roman"/>
      <family val="1"/>
    </font>
    <font>
      <b/>
      <sz val="6"/>
      <color theme="1"/>
      <name val="Times New Roman"/>
      <family val="1"/>
      <charset val="163"/>
    </font>
    <font>
      <sz val="6"/>
      <color theme="1"/>
      <name val=".VnTime"/>
      <family val="2"/>
    </font>
    <font>
      <sz val="6"/>
      <color theme="1"/>
      <name val="times new roman"/>
      <family val="2"/>
      <charset val="163"/>
    </font>
    <font>
      <i/>
      <sz val="9"/>
      <color theme="1"/>
      <name val="Times New Roman"/>
      <family val="1"/>
    </font>
    <font>
      <sz val="10"/>
      <color rgb="FF7030A0"/>
      <name val="Times New Roman"/>
      <family val="1"/>
    </font>
    <font>
      <b/>
      <sz val="10"/>
      <color rgb="FF7030A0"/>
      <name val="Times New Roman"/>
      <family val="1"/>
    </font>
    <font>
      <i/>
      <sz val="10"/>
      <color rgb="FF7030A0"/>
      <name val="Times New Roman"/>
      <family val="1"/>
    </font>
    <font>
      <sz val="11"/>
      <color rgb="FF7030A0"/>
      <name val="Times New Roman"/>
      <family val="1"/>
    </font>
    <font>
      <b/>
      <i/>
      <sz val="10"/>
      <color rgb="FF7030A0"/>
      <name val="Times New Roman"/>
      <family val="1"/>
    </font>
    <font>
      <b/>
      <sz val="9"/>
      <color rgb="FF7030A0"/>
      <name val="Times New Roman"/>
      <family val="1"/>
    </font>
    <font>
      <b/>
      <sz val="8"/>
      <color rgb="FF7030A0"/>
      <name val="Times New Roman"/>
      <family val="1"/>
    </font>
    <font>
      <sz val="8"/>
      <color rgb="FF7030A0"/>
      <name val="Times New Roman"/>
      <family val="1"/>
    </font>
    <font>
      <sz val="7"/>
      <color rgb="FF7030A0"/>
      <name val="Times New Roman"/>
      <family val="1"/>
    </font>
    <font>
      <sz val="6"/>
      <color rgb="FF7030A0"/>
      <name val="Times New Roman"/>
      <family val="1"/>
    </font>
    <font>
      <sz val="11"/>
      <color rgb="FF000000"/>
      <name val="Times New Roman"/>
      <family val="1"/>
    </font>
    <font>
      <i/>
      <sz val="9"/>
      <color rgb="FF7030A0"/>
      <name val="Times New Roman"/>
      <family val="1"/>
    </font>
    <font>
      <b/>
      <sz val="10"/>
      <color indexed="8"/>
      <name val="Times New Roman"/>
      <family val="1"/>
    </font>
    <font>
      <sz val="12"/>
      <name val="Arial"/>
      <family val="2"/>
    </font>
    <font>
      <sz val="12"/>
      <color indexed="8"/>
      <name val="times new roman"/>
      <family val="2"/>
      <charset val="163"/>
    </font>
    <font>
      <i/>
      <sz val="12"/>
      <name val="Arial"/>
      <family val="2"/>
    </font>
    <font>
      <sz val="10"/>
      <color rgb="FFFF0000"/>
      <name val="Times New Roman"/>
      <family val="1"/>
      <charset val="163"/>
    </font>
    <font>
      <b/>
      <sz val="13"/>
      <color theme="1"/>
      <name val="Times New Roman"/>
      <family val="1"/>
      <charset val="163"/>
    </font>
    <font>
      <b/>
      <sz val="13"/>
      <color theme="1"/>
      <name val="Times New Roman"/>
      <family val="1"/>
    </font>
    <font>
      <b/>
      <i/>
      <sz val="9"/>
      <name val="Times New Roman"/>
      <family val="1"/>
    </font>
    <font>
      <sz val="9"/>
      <color indexed="8"/>
      <name val="times new roman"/>
      <family val="2"/>
      <charset val="163"/>
    </font>
    <font>
      <sz val="9"/>
      <color theme="1"/>
      <name val=".VnArial Narrow"/>
      <family val="2"/>
    </font>
    <font>
      <sz val="9"/>
      <color rgb="FFFF00FF"/>
      <name val="Times New Roman"/>
      <family val="1"/>
    </font>
    <font>
      <sz val="10"/>
      <name val="Arial"/>
      <family val="2"/>
    </font>
    <font>
      <sz val="10"/>
      <name val="Ms sans serif"/>
      <family val="2"/>
    </font>
    <font>
      <sz val="14"/>
      <name val="뼻뮝"/>
      <family val="3"/>
    </font>
    <font>
      <sz val="12"/>
      <name val="뼻뮝"/>
      <family val="3"/>
    </font>
    <font>
      <sz val="8"/>
      <name val="Arial"/>
      <family val="2"/>
    </font>
    <font>
      <sz val="13"/>
      <name val=".VnTime"/>
      <family val="2"/>
    </font>
    <font>
      <sz val="8"/>
      <name val=".VnTime"/>
      <family val="2"/>
    </font>
    <font>
      <sz val="12"/>
      <name val=".VnArial"/>
      <family val="2"/>
    </font>
    <font>
      <sz val="10"/>
      <color indexed="8"/>
      <name val="Arial"/>
      <family val="2"/>
    </font>
    <font>
      <b/>
      <u/>
      <sz val="14"/>
      <color indexed="8"/>
      <name val=".VnBook-AntiquaH"/>
      <family val="2"/>
    </font>
    <font>
      <i/>
      <sz val="12"/>
      <color indexed="8"/>
      <name val=".VnBook-AntiquaH"/>
      <family val="2"/>
    </font>
    <font>
      <b/>
      <sz val="12"/>
      <color indexed="8"/>
      <name val=".VnBook-Antiqua"/>
      <family val="2"/>
    </font>
    <font>
      <i/>
      <sz val="12"/>
      <color indexed="8"/>
      <name val=".VnBook-Antiqua"/>
      <family val="2"/>
    </font>
    <font>
      <sz val="12"/>
      <name val="±¼¸²Ã¼"/>
      <family val="3"/>
      <charset val="129"/>
    </font>
    <font>
      <sz val="12"/>
      <name val="¹UAAA¼"/>
      <family val="3"/>
      <charset val="129"/>
    </font>
    <font>
      <sz val="12"/>
      <name val="Tms Rmn"/>
    </font>
    <font>
      <sz val="11"/>
      <name val="µ¸¿ò"/>
      <charset val="129"/>
    </font>
    <font>
      <b/>
      <sz val="10"/>
      <name val="Helv"/>
    </font>
    <font>
      <sz val="11"/>
      <name val="Tms Rmn"/>
    </font>
    <font>
      <sz val="10"/>
      <name val="MS Serif"/>
      <family val="1"/>
    </font>
    <font>
      <sz val="10"/>
      <color indexed="16"/>
      <name val="MS Serif"/>
      <family val="1"/>
    </font>
    <font>
      <b/>
      <sz val="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4"/>
      <color indexed="14"/>
      <name val="VNottawa"/>
      <family val="2"/>
    </font>
    <font>
      <b/>
      <sz val="16"/>
      <name val="VNottawa"/>
      <family val="2"/>
    </font>
    <font>
      <b/>
      <sz val="12"/>
      <color indexed="9"/>
      <name val="Tms Rmn"/>
    </font>
    <font>
      <b/>
      <sz val="12"/>
      <name val="Helv"/>
    </font>
    <font>
      <b/>
      <sz val="18"/>
      <name val="Arial"/>
      <family val="2"/>
    </font>
    <font>
      <b/>
      <sz val="8"/>
      <name val="MS Sans Serif"/>
      <family val="2"/>
    </font>
    <font>
      <sz val="8"/>
      <name val="VNarial"/>
      <family val="2"/>
    </font>
    <font>
      <b/>
      <sz val="11"/>
      <name val="Helv"/>
    </font>
    <font>
      <sz val="7"/>
      <name val="Small Fonts"/>
      <family val="2"/>
    </font>
    <font>
      <sz val="10"/>
      <name val="VNtimes new roman"/>
      <family val="2"/>
    </font>
    <font>
      <sz val="8"/>
      <name val="Wingdings"/>
      <charset val="2"/>
    </font>
    <font>
      <sz val="8"/>
      <name val="Helv"/>
    </font>
    <font>
      <sz val="8"/>
      <name val="MS Sans Serif"/>
      <family val="2"/>
    </font>
    <font>
      <b/>
      <sz val="8"/>
      <color indexed="8"/>
      <name val="Helv"/>
    </font>
    <font>
      <sz val="10"/>
      <name val="VNI-Times"/>
    </font>
    <font>
      <sz val="9"/>
      <name val="Arial"/>
      <family val="2"/>
    </font>
    <font>
      <sz val="12"/>
      <name val="Courier"/>
      <family val="3"/>
    </font>
    <font>
      <sz val="10"/>
      <name val=" "/>
      <family val="1"/>
      <charset val="136"/>
    </font>
    <font>
      <b/>
      <sz val="12"/>
      <color indexed="8"/>
      <name val="Arial"/>
      <family val="2"/>
    </font>
    <font>
      <sz val="12"/>
      <color indexed="8"/>
      <name val="Arial"/>
      <family val="2"/>
    </font>
    <font>
      <sz val="12"/>
      <name val="돋움체"/>
      <family val="3"/>
      <charset val="129"/>
    </font>
    <font>
      <b/>
      <sz val="10"/>
      <name val="SVNtimes new roman"/>
      <family val="2"/>
    </font>
    <font>
      <sz val="12"/>
      <name val="VNtimes new roman"/>
      <family val="2"/>
    </font>
    <font>
      <sz val="10"/>
      <name val="?? ??"/>
      <family val="1"/>
      <charset val="136"/>
    </font>
    <font>
      <sz val="10"/>
      <name val="??"/>
      <family val="3"/>
      <charset val="129"/>
    </font>
    <font>
      <sz val="12"/>
      <name val="????"/>
      <family val="1"/>
      <charset val="136"/>
    </font>
    <font>
      <sz val="12"/>
      <name val="|??¢¥¢¬¨Ï"/>
      <family val="1"/>
      <charset val="129"/>
    </font>
    <font>
      <sz val="11"/>
      <name val="–¾’©"/>
      <family val="1"/>
      <charset val="128"/>
    </font>
    <font>
      <sz val="14"/>
      <name val="VnTime"/>
    </font>
    <font>
      <sz val="11"/>
      <name val=".VnTime"/>
      <family val="2"/>
    </font>
    <font>
      <sz val="10"/>
      <name val=".VnTime"/>
      <family val="2"/>
    </font>
    <font>
      <sz val="11"/>
      <color indexed="10"/>
      <name val="Arial"/>
      <family val="2"/>
    </font>
    <font>
      <sz val="10"/>
      <name val="Helv"/>
    </font>
    <font>
      <b/>
      <sz val="8"/>
      <color indexed="12"/>
      <name val="Arial"/>
      <family val="2"/>
    </font>
    <font>
      <sz val="8"/>
      <color indexed="8"/>
      <name val="Arial"/>
      <family val="2"/>
    </font>
    <font>
      <sz val="8"/>
      <name val="SVNtimes new roman"/>
      <family val="2"/>
    </font>
    <font>
      <sz val="10"/>
      <name val="VNI-Aptima"/>
    </font>
    <font>
      <sz val="11"/>
      <name val="VNcentury Gothic"/>
      <family val="2"/>
    </font>
    <font>
      <b/>
      <sz val="15"/>
      <name val="VNcentury Gothic"/>
      <family val="2"/>
    </font>
    <font>
      <sz val="12"/>
      <name val="SVNtimes new roman"/>
      <family val="2"/>
    </font>
    <font>
      <sz val="10"/>
      <name val="SVNtimes new roman"/>
      <family val="2"/>
    </font>
    <font>
      <sz val="10"/>
      <name val="Arial CE"/>
      <charset val="238"/>
    </font>
    <font>
      <sz val="10"/>
      <name val="VNI-Helve-Condense"/>
    </font>
    <font>
      <sz val="10"/>
      <name val=".VnArialH"/>
      <family val="2"/>
    </font>
    <font>
      <b/>
      <sz val="12"/>
      <name val=".VnBook-AntiquaH"/>
      <family val="2"/>
    </font>
    <font>
      <b/>
      <sz val="10"/>
      <name val=".VnTime"/>
      <family val="2"/>
    </font>
    <font>
      <b/>
      <sz val="14"/>
      <name val=".VnTimeH"/>
      <family val="2"/>
    </font>
    <font>
      <b/>
      <sz val="12"/>
      <name val="VN-NTime"/>
    </font>
    <font>
      <sz val="12"/>
      <name val="바탕체"/>
      <family val="1"/>
      <charset val="129"/>
    </font>
    <font>
      <b/>
      <sz val="11"/>
      <name val="Arial"/>
      <family val="2"/>
    </font>
    <font>
      <sz val="12"/>
      <name val="Helv"/>
      <family val="2"/>
    </font>
    <font>
      <b/>
      <sz val="10"/>
      <name val="MS Sans Serif"/>
      <family val="2"/>
    </font>
    <font>
      <b/>
      <sz val="10"/>
      <color indexed="18"/>
      <name val="VNarial"/>
      <family val="2"/>
    </font>
    <font>
      <b/>
      <i/>
      <sz val="12"/>
      <color indexed="8"/>
      <name val="Arial"/>
      <family val="2"/>
    </font>
    <font>
      <i/>
      <sz val="12"/>
      <color indexed="8"/>
      <name val="Arial"/>
      <family val="2"/>
    </font>
    <font>
      <sz val="19"/>
      <color indexed="48"/>
      <name val="Arial"/>
      <family val="2"/>
    </font>
    <font>
      <sz val="12"/>
      <color indexed="14"/>
      <name val="Arial"/>
      <family val="2"/>
    </font>
    <font>
      <b/>
      <sz val="10.5"/>
      <name val=".VnAvantH"/>
      <family val="2"/>
    </font>
    <font>
      <sz val="13"/>
      <name val=".VnArial"/>
      <family val="2"/>
    </font>
    <font>
      <sz val="12"/>
      <name val="VNTime"/>
    </font>
    <font>
      <sz val="10"/>
      <name val=".VnArial"/>
      <family val="2"/>
    </font>
    <font>
      <sz val="11"/>
      <name val=".VnAvant"/>
      <family val="2"/>
    </font>
    <font>
      <sz val="9.5"/>
      <name val=".VnBlackH"/>
      <family val="2"/>
    </font>
    <font>
      <b/>
      <sz val="10"/>
      <name val=".VnBahamasBH"/>
      <family val="2"/>
    </font>
    <font>
      <b/>
      <sz val="11"/>
      <name val=".VnArialH"/>
      <family val="2"/>
    </font>
    <font>
      <b/>
      <sz val="10"/>
      <name val=".VnArialH"/>
      <family val="2"/>
    </font>
    <font>
      <sz val="10"/>
      <name val=".VnArial Narrow"/>
      <family val="2"/>
    </font>
    <font>
      <sz val="14"/>
      <name val="VnTime"/>
      <family val="2"/>
    </font>
    <font>
      <b/>
      <sz val="8"/>
      <name val="VN Helvetica"/>
    </font>
    <font>
      <b/>
      <sz val="12"/>
      <name val=".vntime"/>
      <family val="2"/>
    </font>
    <font>
      <b/>
      <sz val="10"/>
      <name val="VN AvantGBook"/>
    </font>
    <font>
      <b/>
      <sz val="16"/>
      <name val=".VnTime"/>
      <family val="2"/>
    </font>
    <font>
      <sz val="10"/>
      <name val="VNlucida sans"/>
      <family val="2"/>
    </font>
    <font>
      <sz val="9"/>
      <name val=".VnTime"/>
      <family val="2"/>
    </font>
    <font>
      <b/>
      <i/>
      <sz val="12"/>
      <name val=".vntime"/>
      <family val="2"/>
    </font>
    <font>
      <sz val="14"/>
      <name val=".VnArial"/>
      <family val="2"/>
    </font>
    <font>
      <sz val="10"/>
      <name val="명조"/>
      <family val="3"/>
      <charset val="129"/>
    </font>
    <font>
      <sz val="10"/>
      <name val="Helv"/>
      <family val="2"/>
    </font>
    <font>
      <sz val="10"/>
      <name val="돋움체"/>
      <family val="3"/>
      <charset val="129"/>
    </font>
    <font>
      <sz val="13"/>
      <name val="Times New Roman"/>
      <family val="1"/>
    </font>
    <font>
      <sz val="10"/>
      <name val="Arial"/>
      <family val="2"/>
      <charset val="163"/>
    </font>
    <font>
      <sz val="11"/>
      <name val="‚l‚r ‚oƒSƒVƒbƒN"/>
      <family val="3"/>
      <charset val="128"/>
    </font>
    <font>
      <sz val="11"/>
      <name val="VNtimes New Roman"/>
      <family val="2"/>
    </font>
    <font>
      <sz val="12"/>
      <name val="¹ÙÅÁÃ¼"/>
      <charset val="129"/>
    </font>
    <font>
      <sz val="12"/>
      <name val="System"/>
      <family val="1"/>
      <charset val="129"/>
    </font>
    <font>
      <sz val="11"/>
      <name val="µ¸¿ò"/>
      <family val="1"/>
    </font>
    <font>
      <sz val="10"/>
      <name val="VNI-Helve"/>
    </font>
    <font>
      <b/>
      <i/>
      <sz val="12"/>
      <name val=".VnAristote"/>
      <family val="2"/>
    </font>
    <font>
      <sz val="11"/>
      <color indexed="32"/>
      <name val="VNI-Times"/>
    </font>
    <font>
      <sz val="10"/>
      <name val=".VNavant"/>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charset val="163"/>
    </font>
    <font>
      <sz val="13"/>
      <name val="Times New Roman"/>
      <family val="1"/>
      <charset val="163"/>
    </font>
    <font>
      <sz val="14"/>
      <color indexed="8"/>
      <name val="Times New Roman"/>
      <family val="2"/>
      <charset val="163"/>
    </font>
    <font>
      <i/>
      <sz val="10"/>
      <name val=".VnTime"/>
      <family val="2"/>
    </font>
    <font>
      <sz val="10"/>
      <name val="AngsanaUPC"/>
      <family val="1"/>
    </font>
    <font>
      <b/>
      <sz val="10"/>
      <name val=".VnArial"/>
      <family val="2"/>
    </font>
    <font>
      <sz val="14"/>
      <name val=".VnTimeH"/>
      <family val="2"/>
    </font>
    <font>
      <sz val="10"/>
      <name val="SVNtimes new roman"/>
    </font>
    <font>
      <b/>
      <i/>
      <sz val="12"/>
      <name val=".VnAristote"/>
      <family val="2"/>
    </font>
    <font>
      <b/>
      <i/>
      <sz val="16"/>
      <name val="Helv"/>
    </font>
    <font>
      <sz val="14"/>
      <name val=".VnArial Narrow"/>
      <family val="2"/>
    </font>
    <font>
      <b/>
      <sz val="8"/>
      <color indexed="8"/>
      <name val="Helv"/>
      <family val="2"/>
    </font>
    <font>
      <b/>
      <u val="double"/>
      <sz val="12"/>
      <color indexed="12"/>
      <name val=".VnBahamasB"/>
      <family val="2"/>
    </font>
    <font>
      <b/>
      <sz val="10"/>
      <name val=".VnTimeH"/>
      <family val="2"/>
    </font>
    <font>
      <b/>
      <sz val="11"/>
      <name val=".VnTimeH"/>
      <family val="2"/>
    </font>
    <font>
      <sz val="10"/>
      <name val="Geneva"/>
      <family val="2"/>
    </font>
    <font>
      <sz val="12"/>
      <color indexed="8"/>
      <name val="바탕체"/>
      <family val="3"/>
    </font>
    <font>
      <sz val="12"/>
      <name val="VNI-Times"/>
    </font>
    <font>
      <sz val="11"/>
      <name val="VNI-Aptima"/>
    </font>
    <font>
      <sz val="10"/>
      <color indexed="8"/>
      <name val="Arial"/>
      <family val="2"/>
      <charset val="163"/>
    </font>
    <font>
      <sz val="12"/>
      <name val="???"/>
    </font>
    <font>
      <b/>
      <u/>
      <sz val="10"/>
      <name val="VNI-Times"/>
    </font>
    <font>
      <sz val="12"/>
      <color indexed="10"/>
      <name val=".VnArial Narrow"/>
      <family val="2"/>
    </font>
    <font>
      <sz val="12"/>
      <color indexed="8"/>
      <name val="¹ÙÅÁÃ¼"/>
      <family val="1"/>
      <charset val="129"/>
    </font>
    <font>
      <sz val="14"/>
      <name val="VNI-Times"/>
    </font>
    <font>
      <sz val="11"/>
      <name val="VNI-Times"/>
    </font>
    <font>
      <b/>
      <sz val="12"/>
      <color indexed="63"/>
      <name val="VNI-Times"/>
    </font>
    <font>
      <sz val="12"/>
      <name val="¹ÙÅÁÃ¼"/>
      <family val="1"/>
      <charset val="129"/>
    </font>
    <font>
      <sz val="13"/>
      <color indexed="8"/>
      <name val="Times New Roman"/>
      <family val="2"/>
    </font>
    <font>
      <sz val="14"/>
      <color indexed="8"/>
      <name val="Times New Roman"/>
      <family val="2"/>
    </font>
    <font>
      <b/>
      <sz val="12"/>
      <name val="VNTime"/>
      <family val="2"/>
    </font>
    <font>
      <b/>
      <sz val="12"/>
      <name val="VNTimeH"/>
      <family val="2"/>
    </font>
    <font>
      <sz val="12"/>
      <name val="VNTime"/>
      <family val="2"/>
    </font>
    <font>
      <b/>
      <sz val="18"/>
      <name val="Arial"/>
      <family val="2"/>
      <charset val="163"/>
    </font>
    <font>
      <b/>
      <sz val="12"/>
      <name val="Arial"/>
      <family val="2"/>
      <charset val="163"/>
    </font>
    <font>
      <u/>
      <sz val="10"/>
      <color indexed="12"/>
      <name val=".VnTime"/>
      <family val="2"/>
    </font>
    <font>
      <u/>
      <sz val="12"/>
      <color indexed="12"/>
      <name val=".VnTime"/>
      <family val="2"/>
    </font>
    <font>
      <u/>
      <sz val="12"/>
      <color indexed="12"/>
      <name val="Arial"/>
      <family val="2"/>
    </font>
    <font>
      <sz val="13"/>
      <name val="Arial"/>
      <family val="2"/>
      <charset val="163"/>
    </font>
    <font>
      <sz val="11"/>
      <color indexed="8"/>
      <name val="Helvetica Neue"/>
    </font>
    <font>
      <sz val="11"/>
      <name val="3C_Times_T"/>
    </font>
    <font>
      <u/>
      <sz val="10"/>
      <color indexed="12"/>
      <name val="Arial"/>
      <family val="2"/>
    </font>
    <font>
      <sz val="8"/>
      <name val="Tms Rmn"/>
    </font>
    <font>
      <sz val="10"/>
      <name val="VNbook-Antiqua"/>
    </font>
    <font>
      <sz val="10"/>
      <name val="Symbol"/>
      <family val="1"/>
      <charset val="2"/>
    </font>
    <font>
      <b/>
      <sz val="10"/>
      <name val="VNI-Univer"/>
    </font>
    <font>
      <sz val="10"/>
      <name val=".VnBook-Antiqua"/>
      <family val="2"/>
    </font>
    <font>
      <b/>
      <i/>
      <u/>
      <sz val="12"/>
      <name val=".VnTimeH"/>
      <family val="2"/>
    </font>
    <font>
      <b/>
      <sz val="12"/>
      <name val="VNI-Times"/>
    </font>
    <font>
      <b/>
      <sz val="13"/>
      <color indexed="8"/>
      <name val=".VnTimeH"/>
      <family val="2"/>
    </font>
    <font>
      <sz val="16"/>
      <name val="AngsanaUPC"/>
      <family val="3"/>
    </font>
    <font>
      <sz val="11"/>
      <color indexed="8"/>
      <name val="Arial"/>
      <family val="2"/>
    </font>
    <font>
      <sz val="8"/>
      <color indexed="12"/>
      <name val="Helv"/>
    </font>
    <font>
      <sz val="11"/>
      <name val="??"/>
      <family val="3"/>
    </font>
    <font>
      <sz val="10"/>
      <name val="VNtimes new roman"/>
      <family val="1"/>
    </font>
    <font>
      <b/>
      <sz val="15"/>
      <color indexed="54"/>
      <name val="Calibri"/>
      <family val="2"/>
    </font>
    <font>
      <b/>
      <sz val="13"/>
      <color indexed="54"/>
      <name val="Calibri"/>
      <family val="2"/>
    </font>
    <font>
      <b/>
      <sz val="11"/>
      <color indexed="54"/>
      <name val="Calibri"/>
      <family val="2"/>
    </font>
    <font>
      <sz val="18"/>
      <color indexed="54"/>
      <name val="Calibri Light"/>
      <family val="2"/>
    </font>
    <font>
      <b/>
      <i/>
      <sz val="10"/>
      <color indexed="8"/>
      <name val="Times New Roman"/>
      <family val="1"/>
    </font>
    <font>
      <b/>
      <sz val="6"/>
      <color indexed="8"/>
      <name val="Times New Roman"/>
      <family val="1"/>
    </font>
    <font>
      <sz val="6"/>
      <color indexed="8"/>
      <name val="Times New Roman"/>
      <family val="1"/>
    </font>
    <font>
      <sz val="11"/>
      <color theme="1"/>
      <name val="Calibri"/>
      <family val="2"/>
    </font>
    <font>
      <sz val="14"/>
      <color theme="1"/>
      <name val="Times New Roman"/>
      <family val="2"/>
    </font>
    <font>
      <sz val="10"/>
      <color theme="1"/>
      <name val="times new roman"/>
      <family val="2"/>
      <charset val="163"/>
    </font>
    <font>
      <sz val="11"/>
      <color theme="1"/>
      <name val="Arial"/>
      <family val="2"/>
      <charset val="163"/>
    </font>
    <font>
      <i/>
      <sz val="11"/>
      <color rgb="FF7030A0"/>
      <name val="Times New Roman"/>
      <family val="1"/>
    </font>
    <font>
      <sz val="10"/>
      <color indexed="8"/>
      <name val="Times New Roman"/>
      <family val="1"/>
    </font>
    <font>
      <b/>
      <sz val="10"/>
      <name val="Tahoma"/>
      <family val="2"/>
    </font>
    <font>
      <b/>
      <i/>
      <sz val="9"/>
      <color rgb="FFFF0000"/>
      <name val="Times New Roman"/>
      <family val="1"/>
    </font>
    <font>
      <b/>
      <sz val="9"/>
      <color indexed="8"/>
      <name val="Times New Roman"/>
      <family val="1"/>
    </font>
    <font>
      <sz val="9"/>
      <color rgb="FF000000"/>
      <name val="Times New Roman"/>
      <family val="1"/>
    </font>
    <font>
      <b/>
      <i/>
      <sz val="9.5"/>
      <name val="Times New Roman"/>
      <family val="1"/>
    </font>
    <font>
      <b/>
      <i/>
      <sz val="11"/>
      <name val="Times New Roman"/>
      <family val="1"/>
    </font>
  </fonts>
  <fills count="59">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0070C0"/>
        <bgColor indexed="64"/>
      </patternFill>
    </fill>
    <fill>
      <patternFill patternType="solid">
        <fgColor rgb="FF7030A0"/>
        <bgColor indexed="64"/>
      </patternFill>
    </fill>
    <fill>
      <patternFill patternType="solid">
        <fgColor rgb="FF92D05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27"/>
      </patternFill>
    </fill>
    <fill>
      <patternFill patternType="solid">
        <fgColor indexed="45"/>
      </patternFill>
    </fill>
    <fill>
      <patternFill patternType="solid">
        <fgColor indexed="47"/>
      </patternFill>
    </fill>
    <fill>
      <patternFill patternType="solid">
        <fgColor indexed="42"/>
      </patternFill>
    </fill>
    <fill>
      <patternFill patternType="solid">
        <fgColor indexed="9"/>
      </patternFill>
    </fill>
    <fill>
      <patternFill patternType="solid">
        <fgColor indexed="46"/>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22"/>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62"/>
      </patternFill>
    </fill>
    <fill>
      <patternFill patternType="solid">
        <fgColor indexed="10"/>
      </patternFill>
    </fill>
    <fill>
      <patternFill patternType="solid">
        <fgColor indexed="53"/>
      </patternFill>
    </fill>
    <fill>
      <patternFill patternType="solid">
        <fgColor indexed="55"/>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7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ck">
        <color indexed="64"/>
      </left>
      <right/>
      <top style="thick">
        <color indexed="64"/>
      </top>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bottom style="medium">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medium">
        <color indexed="64"/>
      </right>
      <top style="medium">
        <color indexed="64"/>
      </top>
      <bottom style="thin">
        <color indexed="64"/>
      </bottom>
      <diagonal/>
    </border>
    <border>
      <left/>
      <right style="medium">
        <color indexed="0"/>
      </right>
      <top/>
      <bottom/>
      <diagonal/>
    </border>
    <border>
      <left style="double">
        <color indexed="64"/>
      </left>
      <right style="thin">
        <color indexed="64"/>
      </right>
      <top style="double">
        <color indexed="64"/>
      </top>
      <bottom/>
      <diagonal/>
    </border>
    <border>
      <left/>
      <right/>
      <top style="thin">
        <color indexed="62"/>
      </top>
      <bottom style="double">
        <color indexed="62"/>
      </bottom>
      <diagonal/>
    </border>
    <border>
      <left style="double">
        <color indexed="64"/>
      </left>
      <right style="thin">
        <color indexed="64"/>
      </right>
      <top style="hair">
        <color indexed="64"/>
      </top>
      <bottom style="double">
        <color indexed="64"/>
      </bottom>
      <diagonal/>
    </border>
    <border>
      <left/>
      <right/>
      <top style="thin">
        <color indexed="49"/>
      </top>
      <bottom style="double">
        <color indexed="49"/>
      </bottom>
      <diagonal/>
    </border>
    <border>
      <left/>
      <right/>
      <top style="thin">
        <color indexed="64"/>
      </top>
      <bottom style="double">
        <color indexed="64"/>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288">
    <xf numFmtId="0" fontId="0" fillId="0" borderId="0"/>
    <xf numFmtId="0" fontId="38" fillId="0" borderId="0"/>
    <xf numFmtId="170" fontId="24" fillId="0" borderId="0" applyFont="0" applyFill="0" applyBorder="0" applyAlignment="0" applyProtection="0"/>
    <xf numFmtId="0" fontId="22" fillId="0" borderId="1" applyNumberFormat="0" applyAlignment="0" applyProtection="0">
      <alignment horizontal="left" vertical="center"/>
    </xf>
    <xf numFmtId="0" fontId="22" fillId="0" borderId="2">
      <alignment horizontal="left" vertical="center"/>
    </xf>
    <xf numFmtId="0" fontId="12" fillId="0" borderId="0"/>
    <xf numFmtId="0" fontId="43" fillId="0" borderId="0"/>
    <xf numFmtId="0" fontId="11" fillId="0" borderId="0"/>
    <xf numFmtId="0" fontId="16" fillId="0" borderId="0"/>
    <xf numFmtId="0" fontId="42" fillId="0" borderId="0"/>
    <xf numFmtId="0" fontId="25" fillId="0" borderId="0" applyNumberFormat="0" applyFill="0" applyBorder="0" applyAlignment="0" applyProtection="0"/>
    <xf numFmtId="168" fontId="7" fillId="0" borderId="0" applyFont="0" applyFill="0" applyBorder="0" applyAlignment="0" applyProtection="0"/>
    <xf numFmtId="0" fontId="68" fillId="0" borderId="0"/>
    <xf numFmtId="0" fontId="65" fillId="0" borderId="0">
      <alignment wrapText="1"/>
    </xf>
    <xf numFmtId="0" fontId="65" fillId="0" borderId="0"/>
    <xf numFmtId="0" fontId="65" fillId="0" borderId="0"/>
    <xf numFmtId="170" fontId="2" fillId="0" borderId="0" applyFont="0" applyFill="0" applyBorder="0" applyAlignment="0" applyProtection="0"/>
    <xf numFmtId="0" fontId="76" fillId="0" borderId="0"/>
    <xf numFmtId="0" fontId="11" fillId="0" borderId="0"/>
    <xf numFmtId="0" fontId="11" fillId="0" borderId="0"/>
    <xf numFmtId="43" fontId="2" fillId="0" borderId="0" applyFont="0" applyFill="0" applyBorder="0" applyAlignment="0" applyProtection="0"/>
    <xf numFmtId="0" fontId="7" fillId="0" borderId="0"/>
    <xf numFmtId="168" fontId="7" fillId="0" borderId="0" applyFont="0" applyFill="0" applyBorder="0" applyAlignment="0" applyProtection="0"/>
    <xf numFmtId="168" fontId="24" fillId="0" borderId="0" applyFont="0" applyFill="0" applyBorder="0" applyAlignment="0" applyProtection="0"/>
    <xf numFmtId="170" fontId="7" fillId="0" borderId="0" applyFont="0" applyFill="0" applyBorder="0" applyAlignment="0" applyProtection="0"/>
    <xf numFmtId="170" fontId="79" fillId="0" borderId="0" applyFont="0" applyFill="0" applyBorder="0" applyAlignment="0" applyProtection="0"/>
    <xf numFmtId="170" fontId="24" fillId="0" borderId="0" applyFont="0" applyFill="0" applyBorder="0" applyAlignment="0" applyProtection="0"/>
    <xf numFmtId="170" fontId="24" fillId="0" borderId="0" applyFont="0" applyFill="0" applyBorder="0" applyAlignment="0" applyProtection="0"/>
    <xf numFmtId="170" fontId="24" fillId="0" borderId="0" applyFont="0" applyFill="0" applyBorder="0" applyAlignment="0" applyProtection="0"/>
    <xf numFmtId="168" fontId="7" fillId="0" borderId="0" applyFont="0" applyFill="0" applyBorder="0" applyAlignment="0" applyProtection="0"/>
    <xf numFmtId="0" fontId="80" fillId="0" borderId="0" applyNumberFormat="0" applyFill="0" applyBorder="0" applyAlignment="0" applyProtection="0"/>
    <xf numFmtId="0" fontId="34" fillId="0" borderId="0"/>
    <xf numFmtId="0" fontId="7" fillId="0" borderId="0"/>
    <xf numFmtId="0" fontId="79" fillId="0" borderId="0"/>
    <xf numFmtId="0" fontId="11" fillId="0" borderId="0"/>
    <xf numFmtId="0" fontId="1" fillId="0" borderId="0"/>
    <xf numFmtId="0" fontId="69" fillId="0" borderId="0"/>
    <xf numFmtId="0" fontId="81" fillId="0" borderId="0"/>
    <xf numFmtId="0" fontId="1" fillId="0" borderId="0"/>
    <xf numFmtId="0" fontId="1" fillId="0" borderId="0"/>
    <xf numFmtId="0" fontId="34" fillId="0" borderId="0"/>
    <xf numFmtId="0" fontId="65" fillId="0" borderId="0"/>
    <xf numFmtId="0" fontId="68" fillId="0" borderId="0"/>
    <xf numFmtId="170" fontId="11" fillId="0" borderId="0" applyFont="0" applyFill="0" applyBorder="0" applyAlignment="0" applyProtection="0"/>
    <xf numFmtId="0" fontId="65" fillId="0" borderId="0"/>
    <xf numFmtId="0" fontId="12" fillId="0" borderId="0"/>
    <xf numFmtId="0" fontId="174" fillId="0" borderId="0"/>
    <xf numFmtId="285" fontId="32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34" fillId="0" borderId="0"/>
    <xf numFmtId="0" fontId="280" fillId="0" borderId="0"/>
    <xf numFmtId="3" fontId="220" fillId="0" borderId="21"/>
    <xf numFmtId="227" fontId="221" fillId="0" borderId="31">
      <alignment horizontal="center"/>
      <protection hidden="1"/>
    </xf>
    <xf numFmtId="172" fontId="222" fillId="0" borderId="32" applyFont="0" applyBorder="0"/>
    <xf numFmtId="172" fontId="222" fillId="0" borderId="32" applyFont="0" applyBorder="0"/>
    <xf numFmtId="172" fontId="222" fillId="0" borderId="32" applyFont="0" applyBorder="0"/>
    <xf numFmtId="0" fontId="230" fillId="0" borderId="0"/>
    <xf numFmtId="0" fontId="65" fillId="0" borderId="0"/>
    <xf numFmtId="0" fontId="223" fillId="0" borderId="0" applyFont="0" applyFill="0" applyBorder="0" applyAlignment="0" applyProtection="0"/>
    <xf numFmtId="209" fontId="65" fillId="0" borderId="0" applyFont="0" applyFill="0" applyBorder="0" applyAlignment="0" applyProtection="0"/>
    <xf numFmtId="327" fontId="360" fillId="0" borderId="0" applyFont="0" applyFill="0" applyBorder="0" applyAlignment="0" applyProtection="0"/>
    <xf numFmtId="203" fontId="360" fillId="0" borderId="0" applyFont="0" applyFill="0" applyBorder="0" applyAlignment="0" applyProtection="0"/>
    <xf numFmtId="265" fontId="65" fillId="0" borderId="0" applyFont="0" applyFill="0" applyBorder="0" applyAlignment="0" applyProtection="0"/>
    <xf numFmtId="265" fontId="65" fillId="0" borderId="0" applyFont="0" applyFill="0" applyBorder="0" applyAlignment="0" applyProtection="0"/>
    <xf numFmtId="0" fontId="65" fillId="0" borderId="0" applyNumberFormat="0" applyFill="0" applyBorder="0" applyAlignment="0" applyProtection="0"/>
    <xf numFmtId="0" fontId="181" fillId="0" borderId="0" applyFont="0" applyFill="0" applyBorder="0" applyAlignment="0" applyProtection="0"/>
    <xf numFmtId="0" fontId="224" fillId="0" borderId="33"/>
    <xf numFmtId="266" fontId="230" fillId="0" borderId="0" applyFont="0" applyFill="0" applyBorder="0" applyAlignment="0" applyProtection="0"/>
    <xf numFmtId="199" fontId="225" fillId="0" borderId="0" applyFont="0" applyFill="0" applyBorder="0" applyAlignment="0" applyProtection="0"/>
    <xf numFmtId="200" fontId="225" fillId="0" borderId="0" applyFont="0" applyFill="0" applyBorder="0" applyAlignment="0" applyProtection="0"/>
    <xf numFmtId="206" fontId="216" fillId="0" borderId="0" applyFont="0" applyFill="0" applyBorder="0" applyAlignment="0" applyProtection="0"/>
    <xf numFmtId="0" fontId="311" fillId="0" borderId="0" applyFont="0" applyFill="0" applyBorder="0" applyAlignment="0" applyProtection="0"/>
    <xf numFmtId="0" fontId="65" fillId="0" borderId="0" applyFont="0" applyFill="0" applyBorder="0" applyAlignment="0" applyProtection="0"/>
    <xf numFmtId="0" fontId="65" fillId="0" borderId="0" applyFont="0" applyFill="0" applyBorder="0" applyAlignment="0" applyProtection="0"/>
    <xf numFmtId="0" fontId="226" fillId="0" borderId="0"/>
    <xf numFmtId="0" fontId="65" fillId="0" borderId="0" applyNumberFormat="0" applyFill="0" applyBorder="0" applyAlignment="0" applyProtection="0"/>
    <xf numFmtId="199" fontId="11" fillId="0" borderId="0" applyFont="0" applyFill="0" applyBorder="0" applyAlignment="0" applyProtection="0"/>
    <xf numFmtId="167" fontId="214" fillId="0" borderId="0" applyFont="0" applyFill="0" applyBorder="0" applyAlignment="0" applyProtection="0"/>
    <xf numFmtId="0" fontId="230" fillId="0" borderId="0" applyNumberFormat="0" applyFill="0" applyBorder="0" applyAlignment="0" applyProtection="0"/>
    <xf numFmtId="0" fontId="230" fillId="0" borderId="0" applyNumberFormat="0" applyFill="0" applyBorder="0" applyAlignment="0" applyProtection="0"/>
    <xf numFmtId="286" fontId="214" fillId="0" borderId="0" applyFont="0" applyFill="0" applyBorder="0" applyAlignment="0" applyProtection="0"/>
    <xf numFmtId="286" fontId="214" fillId="0" borderId="0" applyFont="0" applyFill="0" applyBorder="0" applyAlignment="0" applyProtection="0"/>
    <xf numFmtId="0" fontId="175" fillId="0" borderId="0"/>
    <xf numFmtId="0" fontId="175" fillId="0" borderId="0"/>
    <xf numFmtId="0" fontId="175" fillId="0" borderId="0"/>
    <xf numFmtId="0" fontId="175" fillId="0" borderId="0"/>
    <xf numFmtId="0" fontId="175" fillId="0" borderId="0"/>
    <xf numFmtId="0" fontId="175" fillId="0" borderId="0"/>
    <xf numFmtId="0" fontId="175" fillId="0" borderId="0"/>
    <xf numFmtId="0" fontId="175" fillId="0" borderId="0"/>
    <xf numFmtId="286" fontId="214" fillId="0" borderId="0" applyFont="0" applyFill="0" applyBorder="0" applyAlignment="0" applyProtection="0"/>
    <xf numFmtId="286" fontId="214" fillId="0" borderId="0" applyFont="0" applyFill="0" applyBorder="0" applyAlignment="0" applyProtection="0"/>
    <xf numFmtId="286" fontId="214" fillId="0" borderId="0" applyFont="0" applyFill="0" applyBorder="0" applyAlignment="0" applyProtection="0"/>
    <xf numFmtId="0" fontId="230" fillId="0" borderId="0" applyNumberFormat="0" applyFill="0" applyBorder="0" applyAlignment="0" applyProtection="0"/>
    <xf numFmtId="0" fontId="230" fillId="0" borderId="0" applyNumberFormat="0" applyFill="0" applyBorder="0" applyAlignment="0" applyProtection="0"/>
    <xf numFmtId="287" fontId="11" fillId="0" borderId="0" applyFont="0" applyFill="0" applyBorder="0" applyAlignment="0" applyProtection="0"/>
    <xf numFmtId="167" fontId="214" fillId="0" borderId="0" applyFont="0" applyFill="0" applyBorder="0" applyAlignment="0" applyProtection="0"/>
    <xf numFmtId="167" fontId="214" fillId="0" borderId="0" applyFont="0" applyFill="0" applyBorder="0" applyAlignment="0" applyProtection="0"/>
    <xf numFmtId="0" fontId="230" fillId="0" borderId="0" applyNumberFormat="0" applyFill="0" applyBorder="0" applyAlignment="0" applyProtection="0"/>
    <xf numFmtId="167" fontId="214" fillId="0" borderId="0" applyFont="0" applyFill="0" applyBorder="0" applyAlignment="0" applyProtection="0"/>
    <xf numFmtId="0" fontId="230" fillId="0" borderId="0" applyNumberFormat="0" applyFill="0" applyBorder="0" applyAlignment="0" applyProtection="0"/>
    <xf numFmtId="0" fontId="230" fillId="0" borderId="0" applyNumberFormat="0" applyFill="0" applyBorder="0" applyAlignment="0" applyProtection="0"/>
    <xf numFmtId="0" fontId="230" fillId="0" borderId="0" applyNumberFormat="0" applyFill="0" applyBorder="0" applyAlignment="0" applyProtection="0"/>
    <xf numFmtId="167" fontId="214" fillId="0" borderId="0" applyFont="0" applyFill="0" applyBorder="0" applyAlignment="0" applyProtection="0"/>
    <xf numFmtId="0" fontId="277" fillId="0" borderId="0"/>
    <xf numFmtId="0" fontId="277" fillId="0" borderId="0"/>
    <xf numFmtId="0" fontId="230" fillId="0" borderId="0" applyNumberFormat="0" applyFill="0" applyBorder="0" applyAlignment="0" applyProtection="0"/>
    <xf numFmtId="0" fontId="230" fillId="0" borderId="0" applyNumberFormat="0" applyFill="0" applyBorder="0" applyAlignment="0" applyProtection="0"/>
    <xf numFmtId="0" fontId="277" fillId="0" borderId="0"/>
    <xf numFmtId="167" fontId="214" fillId="0" borderId="0" applyFont="0" applyFill="0" applyBorder="0" applyAlignment="0" applyProtection="0"/>
    <xf numFmtId="288" fontId="324" fillId="0" borderId="0" applyFont="0" applyFill="0" applyBorder="0" applyAlignment="0" applyProtection="0"/>
    <xf numFmtId="0" fontId="182" fillId="0" borderId="0">
      <alignment vertical="top"/>
    </xf>
    <xf numFmtId="0" fontId="182" fillId="0" borderId="0">
      <alignment vertical="top"/>
    </xf>
    <xf numFmtId="0" fontId="182" fillId="0" borderId="0">
      <alignment vertical="top"/>
    </xf>
    <xf numFmtId="167" fontId="214" fillId="0" borderId="0" applyFont="0" applyFill="0" applyBorder="0" applyAlignment="0" applyProtection="0"/>
    <xf numFmtId="167" fontId="214" fillId="0" borderId="0" applyFont="0" applyFill="0" applyBorder="0" applyAlignment="0" applyProtection="0"/>
    <xf numFmtId="0" fontId="230" fillId="0" borderId="0" applyNumberFormat="0" applyFill="0" applyBorder="0" applyAlignment="0" applyProtection="0"/>
    <xf numFmtId="0" fontId="230" fillId="0" borderId="0" applyNumberFormat="0" applyFill="0" applyBorder="0" applyAlignment="0" applyProtection="0"/>
    <xf numFmtId="286" fontId="214" fillId="0" borderId="0" applyFont="0" applyFill="0" applyBorder="0" applyAlignment="0" applyProtection="0"/>
    <xf numFmtId="0" fontId="277" fillId="0" borderId="0"/>
    <xf numFmtId="0" fontId="277" fillId="0" borderId="0"/>
    <xf numFmtId="0" fontId="277" fillId="0" borderId="0"/>
    <xf numFmtId="0" fontId="175" fillId="0" borderId="0" applyFont="0" applyFill="0" applyBorder="0" applyAlignment="0" applyProtection="0"/>
    <xf numFmtId="0" fontId="175" fillId="0" borderId="0" applyFont="0" applyFill="0" applyBorder="0" applyAlignment="0" applyProtection="0"/>
    <xf numFmtId="0" fontId="230" fillId="0" borderId="0" applyNumberFormat="0" applyFill="0" applyBorder="0" applyAlignment="0" applyProtection="0"/>
    <xf numFmtId="0" fontId="230" fillId="0" borderId="0" applyNumberFormat="0" applyFill="0" applyBorder="0" applyAlignment="0" applyProtection="0"/>
    <xf numFmtId="0" fontId="277" fillId="0" borderId="0"/>
    <xf numFmtId="0" fontId="277" fillId="0" borderId="0"/>
    <xf numFmtId="286" fontId="214" fillId="0" borderId="0" applyFont="0" applyFill="0" applyBorder="0" applyAlignment="0" applyProtection="0"/>
    <xf numFmtId="285" fontId="324" fillId="0" borderId="0" applyFont="0" applyFill="0" applyBorder="0" applyAlignment="0" applyProtection="0"/>
    <xf numFmtId="201" fontId="324" fillId="0" borderId="0" applyFont="0" applyFill="0" applyBorder="0" applyAlignment="0" applyProtection="0"/>
    <xf numFmtId="201" fontId="324" fillId="0" borderId="0" applyFont="0" applyFill="0" applyBorder="0" applyAlignment="0" applyProtection="0"/>
    <xf numFmtId="288" fontId="324" fillId="0" borderId="0" applyFont="0" applyFill="0" applyBorder="0" applyAlignment="0" applyProtection="0"/>
    <xf numFmtId="200" fontId="324" fillId="0" borderId="0" applyFont="0" applyFill="0" applyBorder="0" applyAlignment="0" applyProtection="0"/>
    <xf numFmtId="0" fontId="214" fillId="0" borderId="0" applyFont="0" applyFill="0" applyBorder="0" applyAlignment="0" applyProtection="0"/>
    <xf numFmtId="200" fontId="214" fillId="0" borderId="0" applyFont="0" applyFill="0" applyBorder="0" applyAlignment="0" applyProtection="0"/>
    <xf numFmtId="43" fontId="214" fillId="0" borderId="0" applyFont="0" applyFill="0" applyBorder="0" applyAlignment="0" applyProtection="0"/>
    <xf numFmtId="43" fontId="214" fillId="0" borderId="0" applyFont="0" applyFill="0" applyBorder="0" applyAlignment="0" applyProtection="0"/>
    <xf numFmtId="170" fontId="214" fillId="0" borderId="0" applyFont="0" applyFill="0" applyBorder="0" applyAlignment="0" applyProtection="0"/>
    <xf numFmtId="200" fontId="214" fillId="0" borderId="0" applyFont="0" applyFill="0" applyBorder="0" applyAlignment="0" applyProtection="0"/>
    <xf numFmtId="200" fontId="214" fillId="0" borderId="0" applyFont="0" applyFill="0" applyBorder="0" applyAlignment="0" applyProtection="0"/>
    <xf numFmtId="200" fontId="214" fillId="0" borderId="0" applyFont="0" applyFill="0" applyBorder="0" applyAlignment="0" applyProtection="0"/>
    <xf numFmtId="200" fontId="214" fillId="0" borderId="0" applyFont="0" applyFill="0" applyBorder="0" applyAlignment="0" applyProtection="0"/>
    <xf numFmtId="170" fontId="214" fillId="0" borderId="0" applyFont="0" applyFill="0" applyBorder="0" applyAlignment="0" applyProtection="0"/>
    <xf numFmtId="43" fontId="214" fillId="0" borderId="0" applyFont="0" applyFill="0" applyBorder="0" applyAlignment="0" applyProtection="0"/>
    <xf numFmtId="43" fontId="214" fillId="0" borderId="0" applyFont="0" applyFill="0" applyBorder="0" applyAlignment="0" applyProtection="0"/>
    <xf numFmtId="283" fontId="214" fillId="0" borderId="0" applyFont="0" applyFill="0" applyBorder="0" applyAlignment="0" applyProtection="0"/>
    <xf numFmtId="200" fontId="214" fillId="0" borderId="0" applyFont="0" applyFill="0" applyBorder="0" applyAlignment="0" applyProtection="0"/>
    <xf numFmtId="200" fontId="214" fillId="0" borderId="0" applyFont="0" applyFill="0" applyBorder="0" applyAlignment="0" applyProtection="0"/>
    <xf numFmtId="283" fontId="214" fillId="0" borderId="0" applyFont="0" applyFill="0" applyBorder="0" applyAlignment="0" applyProtection="0"/>
    <xf numFmtId="283" fontId="214" fillId="0" borderId="0" applyFont="0" applyFill="0" applyBorder="0" applyAlignment="0" applyProtection="0"/>
    <xf numFmtId="43" fontId="214" fillId="0" borderId="0" applyFont="0" applyFill="0" applyBorder="0" applyAlignment="0" applyProtection="0"/>
    <xf numFmtId="170" fontId="214" fillId="0" borderId="0" applyFont="0" applyFill="0" applyBorder="0" applyAlignment="0" applyProtection="0"/>
    <xf numFmtId="200" fontId="214" fillId="0" borderId="0" applyFont="0" applyFill="0" applyBorder="0" applyAlignment="0" applyProtection="0"/>
    <xf numFmtId="283" fontId="214" fillId="0" borderId="0" applyFont="0" applyFill="0" applyBorder="0" applyAlignment="0" applyProtection="0"/>
    <xf numFmtId="283" fontId="214" fillId="0" borderId="0" applyFont="0" applyFill="0" applyBorder="0" applyAlignment="0" applyProtection="0"/>
    <xf numFmtId="170" fontId="214" fillId="0" borderId="0" applyFont="0" applyFill="0" applyBorder="0" applyAlignment="0" applyProtection="0"/>
    <xf numFmtId="283" fontId="214" fillId="0" borderId="0" applyFont="0" applyFill="0" applyBorder="0" applyAlignment="0" applyProtection="0"/>
    <xf numFmtId="170" fontId="214" fillId="0" borderId="0" applyFont="0" applyFill="0" applyBorder="0" applyAlignment="0" applyProtection="0"/>
    <xf numFmtId="200" fontId="214" fillId="0" borderId="0" applyFont="0" applyFill="0" applyBorder="0" applyAlignment="0" applyProtection="0"/>
    <xf numFmtId="170" fontId="214" fillId="0" borderId="0" applyFont="0" applyFill="0" applyBorder="0" applyAlignment="0" applyProtection="0"/>
    <xf numFmtId="289" fontId="214" fillId="0" borderId="0" applyFont="0" applyFill="0" applyBorder="0" applyAlignment="0" applyProtection="0"/>
    <xf numFmtId="290" fontId="214" fillId="0" borderId="0" applyFont="0" applyFill="0" applyBorder="0" applyAlignment="0" applyProtection="0"/>
    <xf numFmtId="170" fontId="214" fillId="0" borderId="0" applyFont="0" applyFill="0" applyBorder="0" applyAlignment="0" applyProtection="0"/>
    <xf numFmtId="199" fontId="324" fillId="0" borderId="0" applyFont="0" applyFill="0" applyBorder="0" applyAlignment="0" applyProtection="0"/>
    <xf numFmtId="286" fontId="214" fillId="0" borderId="0" applyFont="0" applyFill="0" applyBorder="0" applyAlignment="0" applyProtection="0"/>
    <xf numFmtId="167" fontId="214" fillId="0" borderId="0" applyFont="0" applyFill="0" applyBorder="0" applyAlignment="0" applyProtection="0"/>
    <xf numFmtId="167" fontId="214" fillId="0" borderId="0" applyFont="0" applyFill="0" applyBorder="0" applyAlignment="0" applyProtection="0"/>
    <xf numFmtId="291" fontId="214" fillId="0" borderId="0" applyFont="0" applyFill="0" applyBorder="0" applyAlignment="0" applyProtection="0"/>
    <xf numFmtId="292" fontId="214" fillId="0" borderId="0" applyFont="0" applyFill="0" applyBorder="0" applyAlignment="0" applyProtection="0"/>
    <xf numFmtId="291" fontId="324" fillId="0" borderId="0" applyFont="0" applyFill="0" applyBorder="0" applyAlignment="0" applyProtection="0"/>
    <xf numFmtId="292" fontId="214" fillId="0" borderId="0" applyFont="0" applyFill="0" applyBorder="0" applyAlignment="0" applyProtection="0"/>
    <xf numFmtId="291" fontId="214" fillId="0" borderId="0" applyFont="0" applyFill="0" applyBorder="0" applyAlignment="0" applyProtection="0"/>
    <xf numFmtId="293" fontId="214" fillId="0" borderId="0" applyFont="0" applyFill="0" applyBorder="0" applyAlignment="0" applyProtection="0"/>
    <xf numFmtId="0" fontId="214" fillId="0" borderId="0" applyFont="0" applyFill="0" applyBorder="0" applyAlignment="0" applyProtection="0"/>
    <xf numFmtId="200" fontId="214" fillId="0" borderId="0" applyFont="0" applyFill="0" applyBorder="0" applyAlignment="0" applyProtection="0"/>
    <xf numFmtId="43" fontId="214" fillId="0" borderId="0" applyFont="0" applyFill="0" applyBorder="0" applyAlignment="0" applyProtection="0"/>
    <xf numFmtId="43" fontId="214" fillId="0" borderId="0" applyFont="0" applyFill="0" applyBorder="0" applyAlignment="0" applyProtection="0"/>
    <xf numFmtId="170" fontId="214" fillId="0" borderId="0" applyFont="0" applyFill="0" applyBorder="0" applyAlignment="0" applyProtection="0"/>
    <xf numFmtId="200" fontId="214" fillId="0" borderId="0" applyFont="0" applyFill="0" applyBorder="0" applyAlignment="0" applyProtection="0"/>
    <xf numFmtId="200" fontId="214" fillId="0" borderId="0" applyFont="0" applyFill="0" applyBorder="0" applyAlignment="0" applyProtection="0"/>
    <xf numFmtId="200" fontId="214" fillId="0" borderId="0" applyFont="0" applyFill="0" applyBorder="0" applyAlignment="0" applyProtection="0"/>
    <xf numFmtId="200" fontId="214" fillId="0" borderId="0" applyFont="0" applyFill="0" applyBorder="0" applyAlignment="0" applyProtection="0"/>
    <xf numFmtId="170" fontId="214" fillId="0" borderId="0" applyFont="0" applyFill="0" applyBorder="0" applyAlignment="0" applyProtection="0"/>
    <xf numFmtId="43" fontId="214" fillId="0" borderId="0" applyFont="0" applyFill="0" applyBorder="0" applyAlignment="0" applyProtection="0"/>
    <xf numFmtId="43" fontId="214" fillId="0" borderId="0" applyFont="0" applyFill="0" applyBorder="0" applyAlignment="0" applyProtection="0"/>
    <xf numFmtId="283" fontId="214" fillId="0" borderId="0" applyFont="0" applyFill="0" applyBorder="0" applyAlignment="0" applyProtection="0"/>
    <xf numFmtId="200" fontId="214" fillId="0" borderId="0" applyFont="0" applyFill="0" applyBorder="0" applyAlignment="0" applyProtection="0"/>
    <xf numFmtId="200" fontId="214" fillId="0" borderId="0" applyFont="0" applyFill="0" applyBorder="0" applyAlignment="0" applyProtection="0"/>
    <xf numFmtId="283" fontId="214" fillId="0" borderId="0" applyFont="0" applyFill="0" applyBorder="0" applyAlignment="0" applyProtection="0"/>
    <xf numFmtId="283" fontId="214" fillId="0" borderId="0" applyFont="0" applyFill="0" applyBorder="0" applyAlignment="0" applyProtection="0"/>
    <xf numFmtId="43" fontId="214" fillId="0" borderId="0" applyFont="0" applyFill="0" applyBorder="0" applyAlignment="0" applyProtection="0"/>
    <xf numFmtId="170" fontId="214" fillId="0" borderId="0" applyFont="0" applyFill="0" applyBorder="0" applyAlignment="0" applyProtection="0"/>
    <xf numFmtId="200" fontId="214" fillId="0" borderId="0" applyFont="0" applyFill="0" applyBorder="0" applyAlignment="0" applyProtection="0"/>
    <xf numFmtId="283" fontId="214" fillId="0" borderId="0" applyFont="0" applyFill="0" applyBorder="0" applyAlignment="0" applyProtection="0"/>
    <xf numFmtId="283" fontId="214" fillId="0" borderId="0" applyFont="0" applyFill="0" applyBorder="0" applyAlignment="0" applyProtection="0"/>
    <xf numFmtId="170" fontId="214" fillId="0" borderId="0" applyFont="0" applyFill="0" applyBorder="0" applyAlignment="0" applyProtection="0"/>
    <xf numFmtId="283" fontId="214" fillId="0" borderId="0" applyFont="0" applyFill="0" applyBorder="0" applyAlignment="0" applyProtection="0"/>
    <xf numFmtId="170" fontId="214" fillId="0" borderId="0" applyFont="0" applyFill="0" applyBorder="0" applyAlignment="0" applyProtection="0"/>
    <xf numFmtId="200" fontId="214" fillId="0" borderId="0" applyFont="0" applyFill="0" applyBorder="0" applyAlignment="0" applyProtection="0"/>
    <xf numFmtId="170" fontId="214" fillId="0" borderId="0" applyFont="0" applyFill="0" applyBorder="0" applyAlignment="0" applyProtection="0"/>
    <xf numFmtId="289" fontId="214" fillId="0" borderId="0" applyFont="0" applyFill="0" applyBorder="0" applyAlignment="0" applyProtection="0"/>
    <xf numFmtId="290" fontId="214" fillId="0" borderId="0" applyFont="0" applyFill="0" applyBorder="0" applyAlignment="0" applyProtection="0"/>
    <xf numFmtId="200" fontId="324" fillId="0" borderId="0" applyFont="0" applyFill="0" applyBorder="0" applyAlignment="0" applyProtection="0"/>
    <xf numFmtId="170" fontId="214" fillId="0" borderId="0" applyFont="0" applyFill="0" applyBorder="0" applyAlignment="0" applyProtection="0"/>
    <xf numFmtId="287" fontId="214" fillId="0" borderId="0" applyFont="0" applyFill="0" applyBorder="0" applyAlignment="0" applyProtection="0"/>
    <xf numFmtId="199" fontId="214" fillId="0" borderId="0" applyFont="0" applyFill="0" applyBorder="0" applyAlignment="0" applyProtection="0"/>
    <xf numFmtId="41" fontId="214" fillId="0" borderId="0" applyFont="0" applyFill="0" applyBorder="0" applyAlignment="0" applyProtection="0"/>
    <xf numFmtId="41" fontId="214" fillId="0" borderId="0" applyFont="0" applyFill="0" applyBorder="0" applyAlignment="0" applyProtection="0"/>
    <xf numFmtId="168" fontId="214" fillId="0" borderId="0" applyFont="0" applyFill="0" applyBorder="0" applyAlignment="0" applyProtection="0"/>
    <xf numFmtId="199" fontId="214" fillId="0" borderId="0" applyFont="0" applyFill="0" applyBorder="0" applyAlignment="0" applyProtection="0"/>
    <xf numFmtId="199" fontId="214" fillId="0" borderId="0" applyFont="0" applyFill="0" applyBorder="0" applyAlignment="0" applyProtection="0"/>
    <xf numFmtId="199" fontId="214" fillId="0" borderId="0" applyFont="0" applyFill="0" applyBorder="0" applyAlignment="0" applyProtection="0"/>
    <xf numFmtId="199" fontId="214" fillId="0" borderId="0" applyFont="0" applyFill="0" applyBorder="0" applyAlignment="0" applyProtection="0"/>
    <xf numFmtId="168" fontId="214" fillId="0" borderId="0" applyFont="0" applyFill="0" applyBorder="0" applyAlignment="0" applyProtection="0"/>
    <xf numFmtId="41" fontId="214" fillId="0" borderId="0" applyFont="0" applyFill="0" applyBorder="0" applyAlignment="0" applyProtection="0"/>
    <xf numFmtId="41" fontId="214" fillId="0" borderId="0" applyFont="0" applyFill="0" applyBorder="0" applyAlignment="0" applyProtection="0"/>
    <xf numFmtId="287" fontId="214" fillId="0" borderId="0" applyFont="0" applyFill="0" applyBorder="0" applyAlignment="0" applyProtection="0"/>
    <xf numFmtId="199" fontId="214" fillId="0" borderId="0" applyFont="0" applyFill="0" applyBorder="0" applyAlignment="0" applyProtection="0"/>
    <xf numFmtId="199" fontId="214" fillId="0" borderId="0" applyFont="0" applyFill="0" applyBorder="0" applyAlignment="0" applyProtection="0"/>
    <xf numFmtId="287" fontId="214" fillId="0" borderId="0" applyFont="0" applyFill="0" applyBorder="0" applyAlignment="0" applyProtection="0"/>
    <xf numFmtId="287" fontId="214" fillId="0" borderId="0" applyFont="0" applyFill="0" applyBorder="0" applyAlignment="0" applyProtection="0"/>
    <xf numFmtId="41" fontId="214" fillId="0" borderId="0" applyFont="0" applyFill="0" applyBorder="0" applyAlignment="0" applyProtection="0"/>
    <xf numFmtId="168" fontId="214" fillId="0" borderId="0" applyFont="0" applyFill="0" applyBorder="0" applyAlignment="0" applyProtection="0"/>
    <xf numFmtId="199" fontId="214" fillId="0" borderId="0" applyFont="0" applyFill="0" applyBorder="0" applyAlignment="0" applyProtection="0"/>
    <xf numFmtId="287" fontId="214" fillId="0" borderId="0" applyFont="0" applyFill="0" applyBorder="0" applyAlignment="0" applyProtection="0"/>
    <xf numFmtId="168" fontId="214" fillId="0" borderId="0" applyFont="0" applyFill="0" applyBorder="0" applyAlignment="0" applyProtection="0"/>
    <xf numFmtId="287" fontId="214" fillId="0" borderId="0" applyFont="0" applyFill="0" applyBorder="0" applyAlignment="0" applyProtection="0"/>
    <xf numFmtId="168" fontId="214" fillId="0" borderId="0" applyFont="0" applyFill="0" applyBorder="0" applyAlignment="0" applyProtection="0"/>
    <xf numFmtId="199" fontId="214" fillId="0" borderId="0" applyFont="0" applyFill="0" applyBorder="0" applyAlignment="0" applyProtection="0"/>
    <xf numFmtId="168" fontId="214" fillId="0" borderId="0" applyFont="0" applyFill="0" applyBorder="0" applyAlignment="0" applyProtection="0"/>
    <xf numFmtId="294" fontId="214" fillId="0" borderId="0" applyFont="0" applyFill="0" applyBorder="0" applyAlignment="0" applyProtection="0"/>
    <xf numFmtId="295" fontId="214" fillId="0" borderId="0" applyFont="0" applyFill="0" applyBorder="0" applyAlignment="0" applyProtection="0"/>
    <xf numFmtId="168" fontId="214" fillId="0" borderId="0" applyFont="0" applyFill="0" applyBorder="0" applyAlignment="0" applyProtection="0"/>
    <xf numFmtId="167" fontId="214" fillId="0" borderId="0" applyFont="0" applyFill="0" applyBorder="0" applyAlignment="0" applyProtection="0"/>
    <xf numFmtId="167" fontId="214" fillId="0" borderId="0" applyFont="0" applyFill="0" applyBorder="0" applyAlignment="0" applyProtection="0"/>
    <xf numFmtId="291" fontId="214" fillId="0" borderId="0" applyFont="0" applyFill="0" applyBorder="0" applyAlignment="0" applyProtection="0"/>
    <xf numFmtId="292" fontId="214" fillId="0" borderId="0" applyFont="0" applyFill="0" applyBorder="0" applyAlignment="0" applyProtection="0"/>
    <xf numFmtId="291" fontId="324" fillId="0" borderId="0" applyFont="0" applyFill="0" applyBorder="0" applyAlignment="0" applyProtection="0"/>
    <xf numFmtId="292" fontId="214" fillId="0" borderId="0" applyFont="0" applyFill="0" applyBorder="0" applyAlignment="0" applyProtection="0"/>
    <xf numFmtId="291" fontId="214" fillId="0" borderId="0" applyFont="0" applyFill="0" applyBorder="0" applyAlignment="0" applyProtection="0"/>
    <xf numFmtId="293" fontId="214" fillId="0" borderId="0" applyFont="0" applyFill="0" applyBorder="0" applyAlignment="0" applyProtection="0"/>
    <xf numFmtId="199" fontId="324" fillId="0" borderId="0" applyFont="0" applyFill="0" applyBorder="0" applyAlignment="0" applyProtection="0"/>
    <xf numFmtId="200" fontId="324" fillId="0" borderId="0" applyFont="0" applyFill="0" applyBorder="0" applyAlignment="0" applyProtection="0"/>
    <xf numFmtId="287" fontId="214" fillId="0" borderId="0" applyFont="0" applyFill="0" applyBorder="0" applyAlignment="0" applyProtection="0"/>
    <xf numFmtId="199" fontId="214" fillId="0" borderId="0" applyFont="0" applyFill="0" applyBorder="0" applyAlignment="0" applyProtection="0"/>
    <xf numFmtId="41" fontId="214" fillId="0" borderId="0" applyFont="0" applyFill="0" applyBorder="0" applyAlignment="0" applyProtection="0"/>
    <xf numFmtId="41" fontId="214" fillId="0" borderId="0" applyFont="0" applyFill="0" applyBorder="0" applyAlignment="0" applyProtection="0"/>
    <xf numFmtId="168" fontId="214" fillId="0" borderId="0" applyFont="0" applyFill="0" applyBorder="0" applyAlignment="0" applyProtection="0"/>
    <xf numFmtId="199" fontId="214" fillId="0" borderId="0" applyFont="0" applyFill="0" applyBorder="0" applyAlignment="0" applyProtection="0"/>
    <xf numFmtId="199" fontId="214" fillId="0" borderId="0" applyFont="0" applyFill="0" applyBorder="0" applyAlignment="0" applyProtection="0"/>
    <xf numFmtId="199" fontId="214" fillId="0" borderId="0" applyFont="0" applyFill="0" applyBorder="0" applyAlignment="0" applyProtection="0"/>
    <xf numFmtId="199" fontId="214" fillId="0" borderId="0" applyFont="0" applyFill="0" applyBorder="0" applyAlignment="0" applyProtection="0"/>
    <xf numFmtId="168" fontId="214" fillId="0" borderId="0" applyFont="0" applyFill="0" applyBorder="0" applyAlignment="0" applyProtection="0"/>
    <xf numFmtId="41" fontId="214" fillId="0" borderId="0" applyFont="0" applyFill="0" applyBorder="0" applyAlignment="0" applyProtection="0"/>
    <xf numFmtId="41" fontId="214" fillId="0" borderId="0" applyFont="0" applyFill="0" applyBorder="0" applyAlignment="0" applyProtection="0"/>
    <xf numFmtId="287" fontId="214" fillId="0" borderId="0" applyFont="0" applyFill="0" applyBorder="0" applyAlignment="0" applyProtection="0"/>
    <xf numFmtId="199" fontId="214" fillId="0" borderId="0" applyFont="0" applyFill="0" applyBorder="0" applyAlignment="0" applyProtection="0"/>
    <xf numFmtId="199" fontId="214" fillId="0" borderId="0" applyFont="0" applyFill="0" applyBorder="0" applyAlignment="0" applyProtection="0"/>
    <xf numFmtId="287" fontId="214" fillId="0" borderId="0" applyFont="0" applyFill="0" applyBorder="0" applyAlignment="0" applyProtection="0"/>
    <xf numFmtId="287" fontId="214" fillId="0" borderId="0" applyFont="0" applyFill="0" applyBorder="0" applyAlignment="0" applyProtection="0"/>
    <xf numFmtId="41" fontId="214" fillId="0" borderId="0" applyFont="0" applyFill="0" applyBorder="0" applyAlignment="0" applyProtection="0"/>
    <xf numFmtId="168" fontId="214" fillId="0" borderId="0" applyFont="0" applyFill="0" applyBorder="0" applyAlignment="0" applyProtection="0"/>
    <xf numFmtId="199" fontId="214" fillId="0" borderId="0" applyFont="0" applyFill="0" applyBorder="0" applyAlignment="0" applyProtection="0"/>
    <xf numFmtId="287" fontId="214" fillId="0" borderId="0" applyFont="0" applyFill="0" applyBorder="0" applyAlignment="0" applyProtection="0"/>
    <xf numFmtId="168" fontId="214" fillId="0" borderId="0" applyFont="0" applyFill="0" applyBorder="0" applyAlignment="0" applyProtection="0"/>
    <xf numFmtId="287" fontId="214" fillId="0" borderId="0" applyFont="0" applyFill="0" applyBorder="0" applyAlignment="0" applyProtection="0"/>
    <xf numFmtId="168" fontId="214" fillId="0" borderId="0" applyFont="0" applyFill="0" applyBorder="0" applyAlignment="0" applyProtection="0"/>
    <xf numFmtId="199" fontId="214" fillId="0" borderId="0" applyFont="0" applyFill="0" applyBorder="0" applyAlignment="0" applyProtection="0"/>
    <xf numFmtId="168" fontId="214" fillId="0" borderId="0" applyFont="0" applyFill="0" applyBorder="0" applyAlignment="0" applyProtection="0"/>
    <xf numFmtId="294" fontId="214" fillId="0" borderId="0" applyFont="0" applyFill="0" applyBorder="0" applyAlignment="0" applyProtection="0"/>
    <xf numFmtId="295" fontId="214" fillId="0" borderId="0" applyFont="0" applyFill="0" applyBorder="0" applyAlignment="0" applyProtection="0"/>
    <xf numFmtId="168" fontId="214" fillId="0" borderId="0" applyFont="0" applyFill="0" applyBorder="0" applyAlignment="0" applyProtection="0"/>
    <xf numFmtId="0" fontId="214" fillId="0" borderId="0" applyFont="0" applyFill="0" applyBorder="0" applyAlignment="0" applyProtection="0"/>
    <xf numFmtId="200" fontId="214" fillId="0" borderId="0" applyFont="0" applyFill="0" applyBorder="0" applyAlignment="0" applyProtection="0"/>
    <xf numFmtId="43" fontId="214" fillId="0" borderId="0" applyFont="0" applyFill="0" applyBorder="0" applyAlignment="0" applyProtection="0"/>
    <xf numFmtId="43" fontId="214" fillId="0" borderId="0" applyFont="0" applyFill="0" applyBorder="0" applyAlignment="0" applyProtection="0"/>
    <xf numFmtId="170" fontId="214" fillId="0" borderId="0" applyFont="0" applyFill="0" applyBorder="0" applyAlignment="0" applyProtection="0"/>
    <xf numFmtId="200" fontId="214" fillId="0" borderId="0" applyFont="0" applyFill="0" applyBorder="0" applyAlignment="0" applyProtection="0"/>
    <xf numFmtId="200" fontId="214" fillId="0" borderId="0" applyFont="0" applyFill="0" applyBorder="0" applyAlignment="0" applyProtection="0"/>
    <xf numFmtId="200" fontId="214" fillId="0" borderId="0" applyFont="0" applyFill="0" applyBorder="0" applyAlignment="0" applyProtection="0"/>
    <xf numFmtId="200" fontId="214" fillId="0" borderId="0" applyFont="0" applyFill="0" applyBorder="0" applyAlignment="0" applyProtection="0"/>
    <xf numFmtId="170" fontId="214" fillId="0" borderId="0" applyFont="0" applyFill="0" applyBorder="0" applyAlignment="0" applyProtection="0"/>
    <xf numFmtId="43" fontId="214" fillId="0" borderId="0" applyFont="0" applyFill="0" applyBorder="0" applyAlignment="0" applyProtection="0"/>
    <xf numFmtId="43" fontId="214" fillId="0" borderId="0" applyFont="0" applyFill="0" applyBorder="0" applyAlignment="0" applyProtection="0"/>
    <xf numFmtId="283" fontId="214" fillId="0" borderId="0" applyFont="0" applyFill="0" applyBorder="0" applyAlignment="0" applyProtection="0"/>
    <xf numFmtId="200" fontId="214" fillId="0" borderId="0" applyFont="0" applyFill="0" applyBorder="0" applyAlignment="0" applyProtection="0"/>
    <xf numFmtId="200" fontId="214" fillId="0" borderId="0" applyFont="0" applyFill="0" applyBorder="0" applyAlignment="0" applyProtection="0"/>
    <xf numFmtId="283" fontId="214" fillId="0" borderId="0" applyFont="0" applyFill="0" applyBorder="0" applyAlignment="0" applyProtection="0"/>
    <xf numFmtId="283" fontId="214" fillId="0" borderId="0" applyFont="0" applyFill="0" applyBorder="0" applyAlignment="0" applyProtection="0"/>
    <xf numFmtId="43" fontId="214" fillId="0" borderId="0" applyFont="0" applyFill="0" applyBorder="0" applyAlignment="0" applyProtection="0"/>
    <xf numFmtId="170" fontId="214" fillId="0" borderId="0" applyFont="0" applyFill="0" applyBorder="0" applyAlignment="0" applyProtection="0"/>
    <xf numFmtId="200" fontId="214" fillId="0" borderId="0" applyFont="0" applyFill="0" applyBorder="0" applyAlignment="0" applyProtection="0"/>
    <xf numFmtId="283" fontId="214" fillId="0" borderId="0" applyFont="0" applyFill="0" applyBorder="0" applyAlignment="0" applyProtection="0"/>
    <xf numFmtId="283" fontId="214" fillId="0" borderId="0" applyFont="0" applyFill="0" applyBorder="0" applyAlignment="0" applyProtection="0"/>
    <xf numFmtId="170" fontId="214" fillId="0" borderId="0" applyFont="0" applyFill="0" applyBorder="0" applyAlignment="0" applyProtection="0"/>
    <xf numFmtId="283" fontId="214" fillId="0" borderId="0" applyFont="0" applyFill="0" applyBorder="0" applyAlignment="0" applyProtection="0"/>
    <xf numFmtId="170" fontId="214" fillId="0" borderId="0" applyFont="0" applyFill="0" applyBorder="0" applyAlignment="0" applyProtection="0"/>
    <xf numFmtId="200" fontId="214" fillId="0" borderId="0" applyFont="0" applyFill="0" applyBorder="0" applyAlignment="0" applyProtection="0"/>
    <xf numFmtId="170" fontId="214" fillId="0" borderId="0" applyFont="0" applyFill="0" applyBorder="0" applyAlignment="0" applyProtection="0"/>
    <xf numFmtId="289" fontId="214" fillId="0" borderId="0" applyFont="0" applyFill="0" applyBorder="0" applyAlignment="0" applyProtection="0"/>
    <xf numFmtId="290" fontId="214" fillId="0" borderId="0" applyFont="0" applyFill="0" applyBorder="0" applyAlignment="0" applyProtection="0"/>
    <xf numFmtId="170" fontId="214" fillId="0" borderId="0" applyFont="0" applyFill="0" applyBorder="0" applyAlignment="0" applyProtection="0"/>
    <xf numFmtId="199" fontId="324" fillId="0" borderId="0" applyFont="0" applyFill="0" applyBorder="0" applyAlignment="0" applyProtection="0"/>
    <xf numFmtId="285" fontId="324" fillId="0" borderId="0" applyFont="0" applyFill="0" applyBorder="0" applyAlignment="0" applyProtection="0"/>
    <xf numFmtId="201" fontId="324" fillId="0" borderId="0" applyFont="0" applyFill="0" applyBorder="0" applyAlignment="0" applyProtection="0"/>
    <xf numFmtId="201" fontId="324" fillId="0" borderId="0" applyFont="0" applyFill="0" applyBorder="0" applyAlignment="0" applyProtection="0"/>
    <xf numFmtId="288" fontId="324" fillId="0" borderId="0" applyFont="0" applyFill="0" applyBorder="0" applyAlignment="0" applyProtection="0"/>
    <xf numFmtId="167" fontId="214" fillId="0" borderId="0" applyFont="0" applyFill="0" applyBorder="0" applyAlignment="0" applyProtection="0"/>
    <xf numFmtId="167" fontId="214" fillId="0" borderId="0" applyFont="0" applyFill="0" applyBorder="0" applyAlignment="0" applyProtection="0"/>
    <xf numFmtId="167" fontId="214" fillId="0" borderId="0" applyFont="0" applyFill="0" applyBorder="0" applyAlignment="0" applyProtection="0"/>
    <xf numFmtId="0" fontId="230" fillId="0" borderId="0" applyNumberFormat="0" applyFill="0" applyBorder="0" applyAlignment="0" applyProtection="0"/>
    <xf numFmtId="0" fontId="230" fillId="0" borderId="0" applyNumberFormat="0" applyFill="0" applyBorder="0" applyAlignment="0" applyProtection="0"/>
    <xf numFmtId="0" fontId="230" fillId="0" borderId="0" applyNumberFormat="0" applyFill="0" applyBorder="0" applyAlignment="0" applyProtection="0"/>
    <xf numFmtId="0" fontId="230" fillId="0" borderId="0" applyNumberFormat="0" applyFill="0" applyBorder="0" applyAlignment="0" applyProtection="0"/>
    <xf numFmtId="291" fontId="214" fillId="0" borderId="0" applyFont="0" applyFill="0" applyBorder="0" applyAlignment="0" applyProtection="0"/>
    <xf numFmtId="292" fontId="214" fillId="0" borderId="0" applyFont="0" applyFill="0" applyBorder="0" applyAlignment="0" applyProtection="0"/>
    <xf numFmtId="291" fontId="324" fillId="0" borderId="0" applyFont="0" applyFill="0" applyBorder="0" applyAlignment="0" applyProtection="0"/>
    <xf numFmtId="292" fontId="214" fillId="0" borderId="0" applyFont="0" applyFill="0" applyBorder="0" applyAlignment="0" applyProtection="0"/>
    <xf numFmtId="291" fontId="214" fillId="0" borderId="0" applyFont="0" applyFill="0" applyBorder="0" applyAlignment="0" applyProtection="0"/>
    <xf numFmtId="0" fontId="230" fillId="0" borderId="0" applyNumberFormat="0" applyFill="0" applyBorder="0" applyAlignment="0" applyProtection="0"/>
    <xf numFmtId="0" fontId="230" fillId="0" borderId="0" applyNumberFormat="0" applyFill="0" applyBorder="0" applyAlignment="0" applyProtection="0"/>
    <xf numFmtId="0" fontId="325" fillId="0" borderId="0"/>
    <xf numFmtId="0" fontId="277" fillId="0" borderId="0"/>
    <xf numFmtId="167" fontId="214" fillId="0" borderId="0" applyFont="0" applyFill="0" applyBorder="0" applyAlignment="0" applyProtection="0"/>
    <xf numFmtId="167" fontId="214" fillId="0" borderId="0" applyFont="0" applyFill="0" applyBorder="0" applyAlignment="0" applyProtection="0"/>
    <xf numFmtId="0" fontId="277" fillId="0" borderId="0"/>
    <xf numFmtId="293" fontId="214" fillId="0" borderId="0" applyFont="0" applyFill="0" applyBorder="0" applyAlignment="0" applyProtection="0"/>
    <xf numFmtId="0" fontId="175" fillId="0" borderId="0"/>
    <xf numFmtId="167" fontId="214" fillId="0" borderId="0" applyFont="0" applyFill="0" applyBorder="0" applyAlignment="0" applyProtection="0"/>
    <xf numFmtId="167" fontId="214" fillId="0" borderId="0" applyFont="0" applyFill="0" applyBorder="0" applyAlignment="0" applyProtection="0"/>
    <xf numFmtId="199" fontId="324" fillId="0" borderId="0" applyFont="0" applyFill="0" applyBorder="0" applyAlignment="0" applyProtection="0"/>
    <xf numFmtId="287" fontId="214" fillId="0" borderId="0" applyFont="0" applyFill="0" applyBorder="0" applyAlignment="0" applyProtection="0"/>
    <xf numFmtId="199" fontId="214" fillId="0" borderId="0" applyFont="0" applyFill="0" applyBorder="0" applyAlignment="0" applyProtection="0"/>
    <xf numFmtId="41" fontId="214" fillId="0" borderId="0" applyFont="0" applyFill="0" applyBorder="0" applyAlignment="0" applyProtection="0"/>
    <xf numFmtId="41" fontId="214" fillId="0" borderId="0" applyFont="0" applyFill="0" applyBorder="0" applyAlignment="0" applyProtection="0"/>
    <xf numFmtId="168" fontId="214" fillId="0" borderId="0" applyFont="0" applyFill="0" applyBorder="0" applyAlignment="0" applyProtection="0"/>
    <xf numFmtId="199" fontId="214" fillId="0" borderId="0" applyFont="0" applyFill="0" applyBorder="0" applyAlignment="0" applyProtection="0"/>
    <xf numFmtId="199" fontId="214" fillId="0" borderId="0" applyFont="0" applyFill="0" applyBorder="0" applyAlignment="0" applyProtection="0"/>
    <xf numFmtId="199" fontId="214" fillId="0" borderId="0" applyFont="0" applyFill="0" applyBorder="0" applyAlignment="0" applyProtection="0"/>
    <xf numFmtId="199" fontId="214" fillId="0" borderId="0" applyFont="0" applyFill="0" applyBorder="0" applyAlignment="0" applyProtection="0"/>
    <xf numFmtId="168" fontId="214" fillId="0" borderId="0" applyFont="0" applyFill="0" applyBorder="0" applyAlignment="0" applyProtection="0"/>
    <xf numFmtId="41" fontId="214" fillId="0" borderId="0" applyFont="0" applyFill="0" applyBorder="0" applyAlignment="0" applyProtection="0"/>
    <xf numFmtId="41" fontId="214" fillId="0" borderId="0" applyFont="0" applyFill="0" applyBorder="0" applyAlignment="0" applyProtection="0"/>
    <xf numFmtId="287" fontId="214" fillId="0" borderId="0" applyFont="0" applyFill="0" applyBorder="0" applyAlignment="0" applyProtection="0"/>
    <xf numFmtId="199" fontId="214" fillId="0" borderId="0" applyFont="0" applyFill="0" applyBorder="0" applyAlignment="0" applyProtection="0"/>
    <xf numFmtId="199" fontId="214" fillId="0" borderId="0" applyFont="0" applyFill="0" applyBorder="0" applyAlignment="0" applyProtection="0"/>
    <xf numFmtId="287" fontId="214" fillId="0" borderId="0" applyFont="0" applyFill="0" applyBorder="0" applyAlignment="0" applyProtection="0"/>
    <xf numFmtId="287" fontId="214" fillId="0" borderId="0" applyFont="0" applyFill="0" applyBorder="0" applyAlignment="0" applyProtection="0"/>
    <xf numFmtId="41" fontId="214" fillId="0" borderId="0" applyFont="0" applyFill="0" applyBorder="0" applyAlignment="0" applyProtection="0"/>
    <xf numFmtId="168" fontId="214" fillId="0" borderId="0" applyFont="0" applyFill="0" applyBorder="0" applyAlignment="0" applyProtection="0"/>
    <xf numFmtId="199" fontId="214" fillId="0" borderId="0" applyFont="0" applyFill="0" applyBorder="0" applyAlignment="0" applyProtection="0"/>
    <xf numFmtId="287" fontId="214" fillId="0" borderId="0" applyFont="0" applyFill="0" applyBorder="0" applyAlignment="0" applyProtection="0"/>
    <xf numFmtId="168" fontId="214" fillId="0" borderId="0" applyFont="0" applyFill="0" applyBorder="0" applyAlignment="0" applyProtection="0"/>
    <xf numFmtId="287" fontId="214" fillId="0" borderId="0" applyFont="0" applyFill="0" applyBorder="0" applyAlignment="0" applyProtection="0"/>
    <xf numFmtId="168" fontId="214" fillId="0" borderId="0" applyFont="0" applyFill="0" applyBorder="0" applyAlignment="0" applyProtection="0"/>
    <xf numFmtId="199" fontId="214" fillId="0" borderId="0" applyFont="0" applyFill="0" applyBorder="0" applyAlignment="0" applyProtection="0"/>
    <xf numFmtId="168" fontId="214" fillId="0" borderId="0" applyFont="0" applyFill="0" applyBorder="0" applyAlignment="0" applyProtection="0"/>
    <xf numFmtId="294" fontId="214" fillId="0" borderId="0" applyFont="0" applyFill="0" applyBorder="0" applyAlignment="0" applyProtection="0"/>
    <xf numFmtId="295" fontId="214" fillId="0" borderId="0" applyFont="0" applyFill="0" applyBorder="0" applyAlignment="0" applyProtection="0"/>
    <xf numFmtId="168" fontId="214" fillId="0" borderId="0" applyFont="0" applyFill="0" applyBorder="0" applyAlignment="0" applyProtection="0"/>
    <xf numFmtId="0" fontId="214" fillId="0" borderId="0" applyFont="0" applyFill="0" applyBorder="0" applyAlignment="0" applyProtection="0"/>
    <xf numFmtId="200" fontId="214" fillId="0" borderId="0" applyFont="0" applyFill="0" applyBorder="0" applyAlignment="0" applyProtection="0"/>
    <xf numFmtId="43" fontId="214" fillId="0" borderId="0" applyFont="0" applyFill="0" applyBorder="0" applyAlignment="0" applyProtection="0"/>
    <xf numFmtId="43" fontId="214" fillId="0" borderId="0" applyFont="0" applyFill="0" applyBorder="0" applyAlignment="0" applyProtection="0"/>
    <xf numFmtId="170" fontId="214" fillId="0" borderId="0" applyFont="0" applyFill="0" applyBorder="0" applyAlignment="0" applyProtection="0"/>
    <xf numFmtId="200" fontId="214" fillId="0" borderId="0" applyFont="0" applyFill="0" applyBorder="0" applyAlignment="0" applyProtection="0"/>
    <xf numFmtId="200" fontId="214" fillId="0" borderId="0" applyFont="0" applyFill="0" applyBorder="0" applyAlignment="0" applyProtection="0"/>
    <xf numFmtId="200" fontId="214" fillId="0" borderId="0" applyFont="0" applyFill="0" applyBorder="0" applyAlignment="0" applyProtection="0"/>
    <xf numFmtId="200" fontId="214" fillId="0" borderId="0" applyFont="0" applyFill="0" applyBorder="0" applyAlignment="0" applyProtection="0"/>
    <xf numFmtId="170" fontId="214" fillId="0" borderId="0" applyFont="0" applyFill="0" applyBorder="0" applyAlignment="0" applyProtection="0"/>
    <xf numFmtId="43" fontId="214" fillId="0" borderId="0" applyFont="0" applyFill="0" applyBorder="0" applyAlignment="0" applyProtection="0"/>
    <xf numFmtId="43" fontId="214" fillId="0" borderId="0" applyFont="0" applyFill="0" applyBorder="0" applyAlignment="0" applyProtection="0"/>
    <xf numFmtId="283" fontId="214" fillId="0" borderId="0" applyFont="0" applyFill="0" applyBorder="0" applyAlignment="0" applyProtection="0"/>
    <xf numFmtId="200" fontId="214" fillId="0" borderId="0" applyFont="0" applyFill="0" applyBorder="0" applyAlignment="0" applyProtection="0"/>
    <xf numFmtId="200" fontId="214" fillId="0" borderId="0" applyFont="0" applyFill="0" applyBorder="0" applyAlignment="0" applyProtection="0"/>
    <xf numFmtId="283" fontId="214" fillId="0" borderId="0" applyFont="0" applyFill="0" applyBorder="0" applyAlignment="0" applyProtection="0"/>
    <xf numFmtId="283" fontId="214" fillId="0" borderId="0" applyFont="0" applyFill="0" applyBorder="0" applyAlignment="0" applyProtection="0"/>
    <xf numFmtId="43" fontId="214" fillId="0" borderId="0" applyFont="0" applyFill="0" applyBorder="0" applyAlignment="0" applyProtection="0"/>
    <xf numFmtId="170" fontId="214" fillId="0" borderId="0" applyFont="0" applyFill="0" applyBorder="0" applyAlignment="0" applyProtection="0"/>
    <xf numFmtId="200" fontId="214" fillId="0" borderId="0" applyFont="0" applyFill="0" applyBorder="0" applyAlignment="0" applyProtection="0"/>
    <xf numFmtId="283" fontId="214" fillId="0" borderId="0" applyFont="0" applyFill="0" applyBorder="0" applyAlignment="0" applyProtection="0"/>
    <xf numFmtId="283" fontId="214" fillId="0" borderId="0" applyFont="0" applyFill="0" applyBorder="0" applyAlignment="0" applyProtection="0"/>
    <xf numFmtId="170" fontId="214" fillId="0" borderId="0" applyFont="0" applyFill="0" applyBorder="0" applyAlignment="0" applyProtection="0"/>
    <xf numFmtId="283" fontId="214" fillId="0" borderId="0" applyFont="0" applyFill="0" applyBorder="0" applyAlignment="0" applyProtection="0"/>
    <xf numFmtId="170" fontId="214" fillId="0" borderId="0" applyFont="0" applyFill="0" applyBorder="0" applyAlignment="0" applyProtection="0"/>
    <xf numFmtId="200" fontId="214" fillId="0" borderId="0" applyFont="0" applyFill="0" applyBorder="0" applyAlignment="0" applyProtection="0"/>
    <xf numFmtId="170" fontId="214" fillId="0" borderId="0" applyFont="0" applyFill="0" applyBorder="0" applyAlignment="0" applyProtection="0"/>
    <xf numFmtId="289" fontId="214" fillId="0" borderId="0" applyFont="0" applyFill="0" applyBorder="0" applyAlignment="0" applyProtection="0"/>
    <xf numFmtId="290" fontId="214" fillId="0" borderId="0" applyFont="0" applyFill="0" applyBorder="0" applyAlignment="0" applyProtection="0"/>
    <xf numFmtId="170" fontId="214" fillId="0" borderId="0" applyFont="0" applyFill="0" applyBorder="0" applyAlignment="0" applyProtection="0"/>
    <xf numFmtId="285" fontId="324" fillId="0" borderId="0" applyFont="0" applyFill="0" applyBorder="0" applyAlignment="0" applyProtection="0"/>
    <xf numFmtId="201" fontId="324" fillId="0" borderId="0" applyFont="0" applyFill="0" applyBorder="0" applyAlignment="0" applyProtection="0"/>
    <xf numFmtId="201" fontId="324" fillId="0" borderId="0" applyFont="0" applyFill="0" applyBorder="0" applyAlignment="0" applyProtection="0"/>
    <xf numFmtId="288" fontId="324" fillId="0" borderId="0" applyFont="0" applyFill="0" applyBorder="0" applyAlignment="0" applyProtection="0"/>
    <xf numFmtId="200" fontId="324" fillId="0" borderId="0" applyFont="0" applyFill="0" applyBorder="0" applyAlignment="0" applyProtection="0"/>
    <xf numFmtId="167" fontId="214" fillId="0" borderId="0" applyFont="0" applyFill="0" applyBorder="0" applyAlignment="0" applyProtection="0"/>
    <xf numFmtId="0" fontId="230" fillId="0" borderId="0" applyNumberFormat="0" applyFill="0" applyBorder="0" applyAlignment="0" applyProtection="0"/>
    <xf numFmtId="0" fontId="230" fillId="0" borderId="0" applyNumberFormat="0" applyFill="0" applyBorder="0" applyAlignment="0" applyProtection="0"/>
    <xf numFmtId="0" fontId="230" fillId="0" borderId="0" applyNumberFormat="0" applyFill="0" applyBorder="0" applyAlignment="0" applyProtection="0"/>
    <xf numFmtId="0" fontId="230" fillId="0" borderId="0" applyNumberFormat="0" applyFill="0" applyBorder="0" applyAlignment="0" applyProtection="0"/>
    <xf numFmtId="167" fontId="214" fillId="0" borderId="0" applyFont="0" applyFill="0" applyBorder="0" applyAlignment="0" applyProtection="0"/>
    <xf numFmtId="0" fontId="182" fillId="0" borderId="0">
      <alignment vertical="top"/>
    </xf>
    <xf numFmtId="0" fontId="326" fillId="0" borderId="0">
      <alignment vertical="top"/>
    </xf>
    <xf numFmtId="0" fontId="182" fillId="0" borderId="0">
      <alignment vertical="top"/>
    </xf>
    <xf numFmtId="0" fontId="326" fillId="0" borderId="0">
      <alignment vertical="top"/>
    </xf>
    <xf numFmtId="0" fontId="182" fillId="0" borderId="0">
      <alignment vertical="top"/>
    </xf>
    <xf numFmtId="0" fontId="326" fillId="0" borderId="0">
      <alignment vertical="top"/>
    </xf>
    <xf numFmtId="0" fontId="230" fillId="0" borderId="0" applyNumberFormat="0" applyFill="0" applyBorder="0" applyAlignment="0" applyProtection="0"/>
    <xf numFmtId="0" fontId="230" fillId="0" borderId="0" applyNumberFormat="0" applyFill="0" applyBorder="0" applyAlignment="0" applyProtection="0"/>
    <xf numFmtId="0" fontId="277" fillId="0" borderId="0"/>
    <xf numFmtId="0" fontId="277" fillId="0" borderId="0"/>
    <xf numFmtId="210" fontId="327" fillId="0" borderId="0" applyFont="0" applyFill="0" applyBorder="0" applyAlignment="0" applyProtection="0"/>
    <xf numFmtId="250" fontId="281" fillId="0" borderId="0" applyFont="0" applyFill="0" applyBorder="0" applyAlignment="0" applyProtection="0"/>
    <xf numFmtId="251" fontId="281" fillId="0" borderId="0" applyFont="0" applyFill="0" applyBorder="0" applyAlignment="0" applyProtection="0"/>
    <xf numFmtId="0" fontId="227" fillId="0" borderId="0"/>
    <xf numFmtId="0" fontId="227" fillId="0" borderId="0"/>
    <xf numFmtId="0" fontId="227" fillId="0" borderId="0"/>
    <xf numFmtId="0" fontId="54" fillId="0" borderId="0"/>
    <xf numFmtId="1" fontId="228" fillId="0" borderId="21" applyBorder="0" applyAlignment="0">
      <alignment horizontal="center"/>
    </xf>
    <xf numFmtId="3" fontId="220" fillId="0" borderId="21"/>
    <xf numFmtId="3" fontId="220" fillId="0" borderId="21"/>
    <xf numFmtId="0" fontId="183" fillId="13" borderId="0"/>
    <xf numFmtId="0" fontId="229" fillId="13" borderId="0"/>
    <xf numFmtId="0" fontId="229" fillId="13" borderId="0"/>
    <xf numFmtId="210" fontId="327" fillId="0" borderId="0" applyFont="0" applyFill="0" applyBorder="0" applyAlignment="0" applyProtection="0"/>
    <xf numFmtId="210" fontId="327" fillId="0" borderId="0" applyFont="0" applyFill="0" applyBorder="0" applyAlignment="0" applyProtection="0"/>
    <xf numFmtId="210" fontId="327" fillId="0" borderId="0" applyFont="0" applyFill="0" applyBorder="0" applyAlignment="0" applyProtection="0"/>
    <xf numFmtId="210" fontId="327" fillId="0" borderId="0" applyFont="0" applyFill="0" applyBorder="0" applyAlignment="0" applyProtection="0"/>
    <xf numFmtId="0" fontId="183" fillId="13" borderId="0"/>
    <xf numFmtId="0" fontId="183" fillId="13" borderId="0"/>
    <xf numFmtId="0" fontId="229" fillId="13" borderId="0"/>
    <xf numFmtId="0" fontId="183" fillId="13" borderId="0"/>
    <xf numFmtId="0" fontId="229" fillId="13" borderId="0"/>
    <xf numFmtId="0" fontId="229" fillId="13" borderId="0"/>
    <xf numFmtId="0" fontId="229" fillId="13" borderId="0"/>
    <xf numFmtId="0" fontId="229" fillId="13" borderId="0"/>
    <xf numFmtId="210" fontId="327" fillId="0" borderId="0" applyFont="0" applyFill="0" applyBorder="0" applyAlignment="0" applyProtection="0"/>
    <xf numFmtId="0" fontId="183" fillId="13" borderId="0"/>
    <xf numFmtId="0" fontId="11" fillId="13" borderId="0"/>
    <xf numFmtId="0" fontId="229" fillId="13" borderId="0"/>
    <xf numFmtId="0" fontId="229" fillId="13" borderId="0"/>
    <xf numFmtId="0" fontId="229" fillId="13" borderId="0"/>
    <xf numFmtId="0" fontId="229" fillId="13" borderId="0"/>
    <xf numFmtId="0" fontId="229" fillId="13" borderId="0"/>
    <xf numFmtId="0" fontId="183" fillId="13" borderId="0"/>
    <xf numFmtId="0" fontId="183" fillId="13" borderId="0"/>
    <xf numFmtId="0" fontId="328" fillId="0" borderId="0" applyFont="0" applyFill="0" applyBorder="0" applyAlignment="0">
      <alignment horizontal="left"/>
    </xf>
    <xf numFmtId="0" fontId="328" fillId="0" borderId="0" applyFont="0" applyFill="0" applyBorder="0" applyAlignment="0">
      <alignment horizontal="left"/>
    </xf>
    <xf numFmtId="0" fontId="229" fillId="13" borderId="0"/>
    <xf numFmtId="0" fontId="229" fillId="13" borderId="0"/>
    <xf numFmtId="210" fontId="327" fillId="0" borderId="0" applyFont="0" applyFill="0" applyBorder="0" applyAlignment="0" applyProtection="0"/>
    <xf numFmtId="0" fontId="183" fillId="13" borderId="0"/>
    <xf numFmtId="0" fontId="183" fillId="13" borderId="0"/>
    <xf numFmtId="0" fontId="312" fillId="0" borderId="21" applyNumberFormat="0" applyFont="0" applyBorder="0">
      <alignment horizontal="left" indent="2"/>
    </xf>
    <xf numFmtId="0" fontId="312" fillId="0" borderId="21" applyNumberFormat="0" applyFont="0" applyBorder="0">
      <alignment horizontal="left" indent="2"/>
    </xf>
    <xf numFmtId="0" fontId="328" fillId="0" borderId="0" applyFont="0" applyFill="0" applyBorder="0" applyAlignment="0">
      <alignment horizontal="left"/>
    </xf>
    <xf numFmtId="0" fontId="328" fillId="0" borderId="0" applyFont="0" applyFill="0" applyBorder="0" applyAlignment="0">
      <alignment horizontal="left"/>
    </xf>
    <xf numFmtId="0" fontId="329" fillId="14" borderId="34" applyFont="0" applyFill="0" applyAlignment="0">
      <alignment vertical="center" wrapText="1"/>
    </xf>
    <xf numFmtId="9" fontId="330" fillId="0" borderId="0" applyBorder="0" applyAlignment="0" applyProtection="0"/>
    <xf numFmtId="0" fontId="184" fillId="13" borderId="0"/>
    <xf numFmtId="0" fontId="229" fillId="13" borderId="0"/>
    <xf numFmtId="0" fontId="229" fillId="13" borderId="0"/>
    <xf numFmtId="0" fontId="229" fillId="13" borderId="0"/>
    <xf numFmtId="0" fontId="184" fillId="13" borderId="0"/>
    <xf numFmtId="0" fontId="229" fillId="13" borderId="0"/>
    <xf numFmtId="0" fontId="229" fillId="13" borderId="0"/>
    <xf numFmtId="0" fontId="229" fillId="13" borderId="0"/>
    <xf numFmtId="0" fontId="229" fillId="13" borderId="0"/>
    <xf numFmtId="0" fontId="11" fillId="13" borderId="0"/>
    <xf numFmtId="0" fontId="229" fillId="13" borderId="0"/>
    <xf numFmtId="0" fontId="229" fillId="13" borderId="0"/>
    <xf numFmtId="0" fontId="229" fillId="13" borderId="0"/>
    <xf numFmtId="0" fontId="229" fillId="13" borderId="0"/>
    <xf numFmtId="0" fontId="229" fillId="13" borderId="0"/>
    <xf numFmtId="0" fontId="229" fillId="13" borderId="0"/>
    <xf numFmtId="0" fontId="229" fillId="13" borderId="0"/>
    <xf numFmtId="0" fontId="184" fillId="13" borderId="0"/>
    <xf numFmtId="0" fontId="312" fillId="0" borderId="21" applyNumberFormat="0" applyFont="0" applyBorder="0" applyAlignment="0">
      <alignment horizontal="center"/>
    </xf>
    <xf numFmtId="0" fontId="312" fillId="0" borderId="21" applyNumberFormat="0" applyFont="0" applyBorder="0" applyAlignment="0">
      <alignment horizontal="center"/>
    </xf>
    <xf numFmtId="0" fontId="11" fillId="0" borderId="0"/>
    <xf numFmtId="0" fontId="11" fillId="0" borderId="0"/>
    <xf numFmtId="0" fontId="290" fillId="15" borderId="0" applyNumberFormat="0" applyBorder="0" applyAlignment="0" applyProtection="0"/>
    <xf numFmtId="0" fontId="290" fillId="15" borderId="0" applyNumberFormat="0" applyBorder="0" applyAlignment="0" applyProtection="0"/>
    <xf numFmtId="0" fontId="290" fillId="16" borderId="0" applyNumberFormat="0" applyBorder="0" applyAlignment="0" applyProtection="0"/>
    <xf numFmtId="0" fontId="290" fillId="15" borderId="0" applyNumberFormat="0" applyBorder="0" applyAlignment="0" applyProtection="0"/>
    <xf numFmtId="0" fontId="290" fillId="17" borderId="0" applyNumberFormat="0" applyBorder="0" applyAlignment="0" applyProtection="0"/>
    <xf numFmtId="0" fontId="290" fillId="17" borderId="0" applyNumberFormat="0" applyBorder="0" applyAlignment="0" applyProtection="0"/>
    <xf numFmtId="0" fontId="290" fillId="18" borderId="0" applyNumberFormat="0" applyBorder="0" applyAlignment="0" applyProtection="0"/>
    <xf numFmtId="0" fontId="290" fillId="17" borderId="0" applyNumberFormat="0" applyBorder="0" applyAlignment="0" applyProtection="0"/>
    <xf numFmtId="0" fontId="290" fillId="19" borderId="0" applyNumberFormat="0" applyBorder="0" applyAlignment="0" applyProtection="0"/>
    <xf numFmtId="0" fontId="290" fillId="19" borderId="0" applyNumberFormat="0" applyBorder="0" applyAlignment="0" applyProtection="0"/>
    <xf numFmtId="0" fontId="290" fillId="20" borderId="0" applyNumberFormat="0" applyBorder="0" applyAlignment="0" applyProtection="0"/>
    <xf numFmtId="0" fontId="290" fillId="19" borderId="0" applyNumberFormat="0" applyBorder="0" applyAlignment="0" applyProtection="0"/>
    <xf numFmtId="0" fontId="290" fillId="21" borderId="0" applyNumberFormat="0" applyBorder="0" applyAlignment="0" applyProtection="0"/>
    <xf numFmtId="0" fontId="290" fillId="21" borderId="0" applyNumberFormat="0" applyBorder="0" applyAlignment="0" applyProtection="0"/>
    <xf numFmtId="0" fontId="290" fillId="22" borderId="0" applyNumberFormat="0" applyBorder="0" applyAlignment="0" applyProtection="0"/>
    <xf numFmtId="0" fontId="290" fillId="21" borderId="0" applyNumberFormat="0" applyBorder="0" applyAlignment="0" applyProtection="0"/>
    <xf numFmtId="0" fontId="290" fillId="16" borderId="0" applyNumberFormat="0" applyBorder="0" applyAlignment="0" applyProtection="0"/>
    <xf numFmtId="0" fontId="290" fillId="16" borderId="0" applyNumberFormat="0" applyBorder="0" applyAlignment="0" applyProtection="0"/>
    <xf numFmtId="0" fontId="290" fillId="15" borderId="0" applyNumberFormat="0" applyBorder="0" applyAlignment="0" applyProtection="0"/>
    <xf numFmtId="0" fontId="290" fillId="16" borderId="0" applyNumberFormat="0" applyBorder="0" applyAlignment="0" applyProtection="0"/>
    <xf numFmtId="0" fontId="290" fillId="18" borderId="0" applyNumberFormat="0" applyBorder="0" applyAlignment="0" applyProtection="0"/>
    <xf numFmtId="0" fontId="290" fillId="18" borderId="0" applyNumberFormat="0" applyBorder="0" applyAlignment="0" applyProtection="0"/>
    <xf numFmtId="0" fontId="290" fillId="19" borderId="0" applyNumberFormat="0" applyBorder="0" applyAlignment="0" applyProtection="0"/>
    <xf numFmtId="0" fontId="290" fillId="18" borderId="0" applyNumberFormat="0" applyBorder="0" applyAlignment="0" applyProtection="0"/>
    <xf numFmtId="0" fontId="290" fillId="15" borderId="0" applyNumberFormat="0" applyBorder="0" applyAlignment="0" applyProtection="0"/>
    <xf numFmtId="0" fontId="290" fillId="17" borderId="0" applyNumberFormat="0" applyBorder="0" applyAlignment="0" applyProtection="0"/>
    <xf numFmtId="0" fontId="290" fillId="19" borderId="0" applyNumberFormat="0" applyBorder="0" applyAlignment="0" applyProtection="0"/>
    <xf numFmtId="0" fontId="290" fillId="21" borderId="0" applyNumberFormat="0" applyBorder="0" applyAlignment="0" applyProtection="0"/>
    <xf numFmtId="0" fontId="290" fillId="16" borderId="0" applyNumberFormat="0" applyBorder="0" applyAlignment="0" applyProtection="0"/>
    <xf numFmtId="0" fontId="290" fillId="18" borderId="0" applyNumberFormat="0" applyBorder="0" applyAlignment="0" applyProtection="0"/>
    <xf numFmtId="0" fontId="65" fillId="0" borderId="0"/>
    <xf numFmtId="0" fontId="185" fillId="13" borderId="0"/>
    <xf numFmtId="0" fontId="229" fillId="13" borderId="0"/>
    <xf numFmtId="0" fontId="229" fillId="13" borderId="0"/>
    <xf numFmtId="0" fontId="229" fillId="13" borderId="0"/>
    <xf numFmtId="0" fontId="185" fillId="13" borderId="0"/>
    <xf numFmtId="0" fontId="229" fillId="13" borderId="0"/>
    <xf numFmtId="0" fontId="229" fillId="13" borderId="0"/>
    <xf numFmtId="0" fontId="229" fillId="13" borderId="0"/>
    <xf numFmtId="0" fontId="229" fillId="13" borderId="0"/>
    <xf numFmtId="0" fontId="11" fillId="13" borderId="0"/>
    <xf numFmtId="0" fontId="229" fillId="13" borderId="0"/>
    <xf numFmtId="0" fontId="229" fillId="13" borderId="0"/>
    <xf numFmtId="0" fontId="229" fillId="13" borderId="0"/>
    <xf numFmtId="0" fontId="229" fillId="13" borderId="0"/>
    <xf numFmtId="0" fontId="229" fillId="13" borderId="0"/>
    <xf numFmtId="0" fontId="229" fillId="13" borderId="0"/>
    <xf numFmtId="0" fontId="229" fillId="13" borderId="0"/>
    <xf numFmtId="0" fontId="185" fillId="13" borderId="0"/>
    <xf numFmtId="0" fontId="186" fillId="0" borderId="0">
      <alignment wrapText="1"/>
    </xf>
    <xf numFmtId="0" fontId="229" fillId="0" borderId="0">
      <alignment wrapText="1"/>
    </xf>
    <xf numFmtId="0" fontId="229" fillId="0" borderId="0">
      <alignment wrapText="1"/>
    </xf>
    <xf numFmtId="0" fontId="229" fillId="0" borderId="0">
      <alignment wrapText="1"/>
    </xf>
    <xf numFmtId="0" fontId="186" fillId="0" borderId="0">
      <alignment wrapText="1"/>
    </xf>
    <xf numFmtId="0" fontId="229" fillId="0" borderId="0">
      <alignment wrapText="1"/>
    </xf>
    <xf numFmtId="0" fontId="229" fillId="0" borderId="0">
      <alignment wrapText="1"/>
    </xf>
    <xf numFmtId="0" fontId="229" fillId="0" borderId="0">
      <alignment wrapText="1"/>
    </xf>
    <xf numFmtId="0" fontId="229" fillId="0" borderId="0">
      <alignment wrapText="1"/>
    </xf>
    <xf numFmtId="0" fontId="11" fillId="0" borderId="0">
      <alignment wrapText="1"/>
    </xf>
    <xf numFmtId="0" fontId="229" fillId="0" borderId="0">
      <alignment wrapText="1"/>
    </xf>
    <xf numFmtId="0" fontId="229" fillId="0" borderId="0">
      <alignment wrapText="1"/>
    </xf>
    <xf numFmtId="0" fontId="229" fillId="0" borderId="0">
      <alignment wrapText="1"/>
    </xf>
    <xf numFmtId="0" fontId="229" fillId="0" borderId="0">
      <alignment wrapText="1"/>
    </xf>
    <xf numFmtId="0" fontId="229" fillId="0" borderId="0">
      <alignment wrapText="1"/>
    </xf>
    <xf numFmtId="0" fontId="229" fillId="0" borderId="0">
      <alignment wrapText="1"/>
    </xf>
    <xf numFmtId="0" fontId="229" fillId="0" borderId="0">
      <alignment wrapText="1"/>
    </xf>
    <xf numFmtId="0" fontId="186" fillId="0" borderId="0">
      <alignment wrapText="1"/>
    </xf>
    <xf numFmtId="0" fontId="290" fillId="23" borderId="0" applyNumberFormat="0" applyBorder="0" applyAlignment="0" applyProtection="0"/>
    <xf numFmtId="0" fontId="290" fillId="23" borderId="0" applyNumberFormat="0" applyBorder="0" applyAlignment="0" applyProtection="0"/>
    <xf numFmtId="0" fontId="290" fillId="23" borderId="0" applyNumberFormat="0" applyBorder="0" applyAlignment="0" applyProtection="0"/>
    <xf numFmtId="0" fontId="290" fillId="24" borderId="0" applyNumberFormat="0" applyBorder="0" applyAlignment="0" applyProtection="0"/>
    <xf numFmtId="0" fontId="290" fillId="24" borderId="0" applyNumberFormat="0" applyBorder="0" applyAlignment="0" applyProtection="0"/>
    <xf numFmtId="0" fontId="290" fillId="18" borderId="0" applyNumberFormat="0" applyBorder="0" applyAlignment="0" applyProtection="0"/>
    <xf numFmtId="0" fontId="290" fillId="24" borderId="0" applyNumberFormat="0" applyBorder="0" applyAlignment="0" applyProtection="0"/>
    <xf numFmtId="0" fontId="290" fillId="25" borderId="0" applyNumberFormat="0" applyBorder="0" applyAlignment="0" applyProtection="0"/>
    <xf numFmtId="0" fontId="290" fillId="25" borderId="0" applyNumberFormat="0" applyBorder="0" applyAlignment="0" applyProtection="0"/>
    <xf numFmtId="0" fontId="290" fillId="26" borderId="0" applyNumberFormat="0" applyBorder="0" applyAlignment="0" applyProtection="0"/>
    <xf numFmtId="0" fontId="290" fillId="25" borderId="0" applyNumberFormat="0" applyBorder="0" applyAlignment="0" applyProtection="0"/>
    <xf numFmtId="0" fontId="290" fillId="21" borderId="0" applyNumberFormat="0" applyBorder="0" applyAlignment="0" applyProtection="0"/>
    <xf numFmtId="0" fontId="290" fillId="21" borderId="0" applyNumberFormat="0" applyBorder="0" applyAlignment="0" applyProtection="0"/>
    <xf numFmtId="0" fontId="290" fillId="27" borderId="0" applyNumberFormat="0" applyBorder="0" applyAlignment="0" applyProtection="0"/>
    <xf numFmtId="0" fontId="290" fillId="21" borderId="0" applyNumberFormat="0" applyBorder="0" applyAlignment="0" applyProtection="0"/>
    <xf numFmtId="0" fontId="290" fillId="23" borderId="0" applyNumberFormat="0" applyBorder="0" applyAlignment="0" applyProtection="0"/>
    <xf numFmtId="0" fontId="290" fillId="23" borderId="0" applyNumberFormat="0" applyBorder="0" applyAlignment="0" applyProtection="0"/>
    <xf numFmtId="0" fontId="290" fillId="23" borderId="0" applyNumberFormat="0" applyBorder="0" applyAlignment="0" applyProtection="0"/>
    <xf numFmtId="0" fontId="290" fillId="28" borderId="0" applyNumberFormat="0" applyBorder="0" applyAlignment="0" applyProtection="0"/>
    <xf numFmtId="0" fontId="290" fillId="28" borderId="0" applyNumberFormat="0" applyBorder="0" applyAlignment="0" applyProtection="0"/>
    <xf numFmtId="0" fontId="290" fillId="27" borderId="0" applyNumberFormat="0" applyBorder="0" applyAlignment="0" applyProtection="0"/>
    <xf numFmtId="0" fontId="290" fillId="28" borderId="0" applyNumberFormat="0" applyBorder="0" applyAlignment="0" applyProtection="0"/>
    <xf numFmtId="0" fontId="290" fillId="23" borderId="0" applyNumberFormat="0" applyBorder="0" applyAlignment="0" applyProtection="0"/>
    <xf numFmtId="0" fontId="290" fillId="24" borderId="0" applyNumberFormat="0" applyBorder="0" applyAlignment="0" applyProtection="0"/>
    <xf numFmtId="0" fontId="290" fillId="25" borderId="0" applyNumberFormat="0" applyBorder="0" applyAlignment="0" applyProtection="0"/>
    <xf numFmtId="0" fontId="290" fillId="21" borderId="0" applyNumberFormat="0" applyBorder="0" applyAlignment="0" applyProtection="0"/>
    <xf numFmtId="0" fontId="290" fillId="23" borderId="0" applyNumberFormat="0" applyBorder="0" applyAlignment="0" applyProtection="0"/>
    <xf numFmtId="0" fontId="290" fillId="28" borderId="0" applyNumberFormat="0" applyBorder="0" applyAlignment="0" applyProtection="0"/>
    <xf numFmtId="172" fontId="313" fillId="0" borderId="13" applyNumberFormat="0" applyFont="0" applyBorder="0" applyAlignment="0">
      <alignment horizontal="center" vertical="center"/>
    </xf>
    <xf numFmtId="0" fontId="11" fillId="0" borderId="0"/>
    <xf numFmtId="0" fontId="230" fillId="0" borderId="0"/>
    <xf numFmtId="0" fontId="230" fillId="0" borderId="0"/>
    <xf numFmtId="0" fontId="230" fillId="0" borderId="0"/>
    <xf numFmtId="0" fontId="230" fillId="0" borderId="0"/>
    <xf numFmtId="0" fontId="230" fillId="0" borderId="0"/>
    <xf numFmtId="0" fontId="230" fillId="0" borderId="0"/>
    <xf numFmtId="0" fontId="230" fillId="0" borderId="0"/>
    <xf numFmtId="0" fontId="230" fillId="0" borderId="0"/>
    <xf numFmtId="0" fontId="230" fillId="0" borderId="0"/>
    <xf numFmtId="0" fontId="230" fillId="0" borderId="0"/>
    <xf numFmtId="0" fontId="230" fillId="0" borderId="0"/>
    <xf numFmtId="0" fontId="230" fillId="0" borderId="0"/>
    <xf numFmtId="0" fontId="230" fillId="0" borderId="0"/>
    <xf numFmtId="0" fontId="230" fillId="0" borderId="0"/>
    <xf numFmtId="0" fontId="11" fillId="0" borderId="0"/>
    <xf numFmtId="0" fontId="291" fillId="29" borderId="0" applyNumberFormat="0" applyBorder="0" applyAlignment="0" applyProtection="0"/>
    <xf numFmtId="0" fontId="291" fillId="29" borderId="0" applyNumberFormat="0" applyBorder="0" applyAlignment="0" applyProtection="0"/>
    <xf numFmtId="0" fontId="291" fillId="23" borderId="0" applyNumberFormat="0" applyBorder="0" applyAlignment="0" applyProtection="0"/>
    <xf numFmtId="0" fontId="291" fillId="29" borderId="0" applyNumberFormat="0" applyBorder="0" applyAlignment="0" applyProtection="0"/>
    <xf numFmtId="0" fontId="291" fillId="24" borderId="0" applyNumberFormat="0" applyBorder="0" applyAlignment="0" applyProtection="0"/>
    <xf numFmtId="0" fontId="291" fillId="24" borderId="0" applyNumberFormat="0" applyBorder="0" applyAlignment="0" applyProtection="0"/>
    <xf numFmtId="0" fontId="291" fillId="18" borderId="0" applyNumberFormat="0" applyBorder="0" applyAlignment="0" applyProtection="0"/>
    <xf numFmtId="0" fontId="291" fillId="24" borderId="0" applyNumberFormat="0" applyBorder="0" applyAlignment="0" applyProtection="0"/>
    <xf numFmtId="0" fontId="291" fillId="25" borderId="0" applyNumberFormat="0" applyBorder="0" applyAlignment="0" applyProtection="0"/>
    <xf numFmtId="0" fontId="291" fillId="25" borderId="0" applyNumberFormat="0" applyBorder="0" applyAlignment="0" applyProtection="0"/>
    <xf numFmtId="0" fontId="291" fillId="26" borderId="0" applyNumberFormat="0" applyBorder="0" applyAlignment="0" applyProtection="0"/>
    <xf numFmtId="0" fontId="291" fillId="25" borderId="0" applyNumberFormat="0" applyBorder="0" applyAlignment="0" applyProtection="0"/>
    <xf numFmtId="0" fontId="291" fillId="30" borderId="0" applyNumberFormat="0" applyBorder="0" applyAlignment="0" applyProtection="0"/>
    <xf numFmtId="0" fontId="291" fillId="30" borderId="0" applyNumberFormat="0" applyBorder="0" applyAlignment="0" applyProtection="0"/>
    <xf numFmtId="0" fontId="291" fillId="27" borderId="0" applyNumberFormat="0" applyBorder="0" applyAlignment="0" applyProtection="0"/>
    <xf numFmtId="0" fontId="291" fillId="30" borderId="0" applyNumberFormat="0" applyBorder="0" applyAlignment="0" applyProtection="0"/>
    <xf numFmtId="0" fontId="291" fillId="31" borderId="0" applyNumberFormat="0" applyBorder="0" applyAlignment="0" applyProtection="0"/>
    <xf numFmtId="0" fontId="291" fillId="31" borderId="0" applyNumberFormat="0" applyBorder="0" applyAlignment="0" applyProtection="0"/>
    <xf numFmtId="0" fontId="291" fillId="31" borderId="0" applyNumberFormat="0" applyBorder="0" applyAlignment="0" applyProtection="0"/>
    <xf numFmtId="0" fontId="291" fillId="32" borderId="0" applyNumberFormat="0" applyBorder="0" applyAlignment="0" applyProtection="0"/>
    <xf numFmtId="0" fontId="291" fillId="32" borderId="0" applyNumberFormat="0" applyBorder="0" applyAlignment="0" applyProtection="0"/>
    <xf numFmtId="0" fontId="291" fillId="33" borderId="0" applyNumberFormat="0" applyBorder="0" applyAlignment="0" applyProtection="0"/>
    <xf numFmtId="0" fontId="291" fillId="32" borderId="0" applyNumberFormat="0" applyBorder="0" applyAlignment="0" applyProtection="0"/>
    <xf numFmtId="0" fontId="81" fillId="0" borderId="0"/>
    <xf numFmtId="0" fontId="81" fillId="0" borderId="0"/>
    <xf numFmtId="0" fontId="282" fillId="0" borderId="0"/>
    <xf numFmtId="0" fontId="291" fillId="34" borderId="0" applyNumberFormat="0" applyBorder="0" applyAlignment="0" applyProtection="0"/>
    <xf numFmtId="0" fontId="291" fillId="34" borderId="0" applyNumberFormat="0" applyBorder="0" applyAlignment="0" applyProtection="0"/>
    <xf numFmtId="0" fontId="291" fillId="31" borderId="0" applyNumberFormat="0" applyBorder="0" applyAlignment="0" applyProtection="0"/>
    <xf numFmtId="0" fontId="291" fillId="34" borderId="0" applyNumberFormat="0" applyBorder="0" applyAlignment="0" applyProtection="0"/>
    <xf numFmtId="0" fontId="291" fillId="35" borderId="0" applyNumberFormat="0" applyBorder="0" applyAlignment="0" applyProtection="0"/>
    <xf numFmtId="0" fontId="291" fillId="35" borderId="0" applyNumberFormat="0" applyBorder="0" applyAlignment="0" applyProtection="0"/>
    <xf numFmtId="0" fontId="291" fillId="36" borderId="0" applyNumberFormat="0" applyBorder="0" applyAlignment="0" applyProtection="0"/>
    <xf numFmtId="0" fontId="291" fillId="35" borderId="0" applyNumberFormat="0" applyBorder="0" applyAlignment="0" applyProtection="0"/>
    <xf numFmtId="0" fontId="291" fillId="33" borderId="0" applyNumberFormat="0" applyBorder="0" applyAlignment="0" applyProtection="0"/>
    <xf numFmtId="0" fontId="291" fillId="33" borderId="0" applyNumberFormat="0" applyBorder="0" applyAlignment="0" applyProtection="0"/>
    <xf numFmtId="0" fontId="291" fillId="37" borderId="0" applyNumberFormat="0" applyBorder="0" applyAlignment="0" applyProtection="0"/>
    <xf numFmtId="0" fontId="291" fillId="33" borderId="0" applyNumberFormat="0" applyBorder="0" applyAlignment="0" applyProtection="0"/>
    <xf numFmtId="0" fontId="291" fillId="30" borderId="0" applyNumberFormat="0" applyBorder="0" applyAlignment="0" applyProtection="0"/>
    <xf numFmtId="0" fontId="291" fillId="30" borderId="0" applyNumberFormat="0" applyBorder="0" applyAlignment="0" applyProtection="0"/>
    <xf numFmtId="0" fontId="291" fillId="28" borderId="0" applyNumberFormat="0" applyBorder="0" applyAlignment="0" applyProtection="0"/>
    <xf numFmtId="0" fontId="291" fillId="30" borderId="0" applyNumberFormat="0" applyBorder="0" applyAlignment="0" applyProtection="0"/>
    <xf numFmtId="0" fontId="291" fillId="31" borderId="0" applyNumberFormat="0" applyBorder="0" applyAlignment="0" applyProtection="0"/>
    <xf numFmtId="0" fontId="291" fillId="31" borderId="0" applyNumberFormat="0" applyBorder="0" applyAlignment="0" applyProtection="0"/>
    <xf numFmtId="0" fontId="291" fillId="34" borderId="0" applyNumberFormat="0" applyBorder="0" applyAlignment="0" applyProtection="0"/>
    <xf numFmtId="0" fontId="291" fillId="31" borderId="0" applyNumberFormat="0" applyBorder="0" applyAlignment="0" applyProtection="0"/>
    <xf numFmtId="0" fontId="291" fillId="36" borderId="0" applyNumberFormat="0" applyBorder="0" applyAlignment="0" applyProtection="0"/>
    <xf numFmtId="0" fontId="291" fillId="36" borderId="0" applyNumberFormat="0" applyBorder="0" applyAlignment="0" applyProtection="0"/>
    <xf numFmtId="0" fontId="291" fillId="33" borderId="0" applyNumberFormat="0" applyBorder="0" applyAlignment="0" applyProtection="0"/>
    <xf numFmtId="0" fontId="291" fillId="36" borderId="0" applyNumberFormat="0" applyBorder="0" applyAlignment="0" applyProtection="0"/>
    <xf numFmtId="296" fontId="331" fillId="0" borderId="0" applyFont="0" applyFill="0" applyBorder="0" applyAlignment="0" applyProtection="0"/>
    <xf numFmtId="0" fontId="188" fillId="0" borderId="0" applyFont="0" applyFill="0" applyBorder="0" applyAlignment="0" applyProtection="0"/>
    <xf numFmtId="297" fontId="332" fillId="0" borderId="0" applyFont="0" applyFill="0" applyBorder="0" applyAlignment="0" applyProtection="0"/>
    <xf numFmtId="298" fontId="331" fillId="0" borderId="0" applyFont="0" applyFill="0" applyBorder="0" applyAlignment="0" applyProtection="0"/>
    <xf numFmtId="0" fontId="188" fillId="0" borderId="0" applyFont="0" applyFill="0" applyBorder="0" applyAlignment="0" applyProtection="0"/>
    <xf numFmtId="299" fontId="331" fillId="0" borderId="0" applyFont="0" applyFill="0" applyBorder="0" applyAlignment="0" applyProtection="0"/>
    <xf numFmtId="0" fontId="52" fillId="0" borderId="0">
      <alignment horizontal="center" wrapText="1"/>
      <protection locked="0"/>
    </xf>
    <xf numFmtId="0" fontId="333" fillId="0" borderId="0" applyNumberFormat="0" applyBorder="0" applyAlignment="0">
      <alignment horizontal="center"/>
    </xf>
    <xf numFmtId="211" fontId="283" fillId="0" borderId="0" applyFont="0" applyFill="0" applyBorder="0" applyAlignment="0" applyProtection="0"/>
    <xf numFmtId="0" fontId="188" fillId="0" borderId="0" applyFont="0" applyFill="0" applyBorder="0" applyAlignment="0" applyProtection="0"/>
    <xf numFmtId="211" fontId="283" fillId="0" borderId="0" applyFont="0" applyFill="0" applyBorder="0" applyAlignment="0" applyProtection="0"/>
    <xf numFmtId="212" fontId="283" fillId="0" borderId="0" applyFont="0" applyFill="0" applyBorder="0" applyAlignment="0" applyProtection="0"/>
    <xf numFmtId="0" fontId="188" fillId="0" borderId="0" applyFont="0" applyFill="0" applyBorder="0" applyAlignment="0" applyProtection="0"/>
    <xf numFmtId="212" fontId="283" fillId="0" borderId="0" applyFont="0" applyFill="0" applyBorder="0" applyAlignment="0" applyProtection="0"/>
    <xf numFmtId="285" fontId="324" fillId="0" borderId="0" applyFont="0" applyFill="0" applyBorder="0" applyAlignment="0" applyProtection="0"/>
    <xf numFmtId="0" fontId="292" fillId="17" borderId="0" applyNumberFormat="0" applyBorder="0" applyAlignment="0" applyProtection="0"/>
    <xf numFmtId="0" fontId="292" fillId="17" borderId="0" applyNumberFormat="0" applyBorder="0" applyAlignment="0" applyProtection="0"/>
    <xf numFmtId="0" fontId="292" fillId="17" borderId="0" applyNumberFormat="0" applyBorder="0" applyAlignment="0" applyProtection="0"/>
    <xf numFmtId="0" fontId="231" fillId="0" borderId="0"/>
    <xf numFmtId="0" fontId="11" fillId="0" borderId="0"/>
    <xf numFmtId="0" fontId="11" fillId="0" borderId="0"/>
    <xf numFmtId="0" fontId="369" fillId="0" borderId="0"/>
    <xf numFmtId="0" fontId="1" fillId="0" borderId="0"/>
    <xf numFmtId="0" fontId="189" fillId="0" borderId="0" applyNumberFormat="0" applyFill="0" applyBorder="0" applyAlignment="0" applyProtection="0"/>
    <xf numFmtId="0" fontId="188" fillId="0" borderId="0"/>
    <xf numFmtId="0" fontId="179" fillId="0" borderId="0"/>
    <xf numFmtId="0" fontId="54" fillId="0" borderId="0"/>
    <xf numFmtId="0" fontId="188" fillId="0" borderId="0"/>
    <xf numFmtId="0" fontId="190" fillId="0" borderId="0"/>
    <xf numFmtId="0" fontId="284" fillId="0" borderId="0"/>
    <xf numFmtId="0" fontId="285" fillId="0" borderId="0"/>
    <xf numFmtId="0" fontId="229" fillId="0" borderId="0"/>
    <xf numFmtId="0" fontId="334" fillId="0" borderId="0"/>
    <xf numFmtId="213" fontId="175" fillId="0" borderId="0" applyFill="0" applyBorder="0" applyAlignment="0"/>
    <xf numFmtId="267" fontId="65" fillId="0" borderId="0" applyFill="0" applyBorder="0" applyAlignment="0"/>
    <xf numFmtId="228" fontId="232" fillId="0" borderId="0" applyFill="0" applyBorder="0" applyAlignment="0"/>
    <xf numFmtId="177" fontId="232" fillId="0" borderId="0" applyFill="0" applyBorder="0" applyAlignment="0"/>
    <xf numFmtId="229" fontId="232" fillId="0" borderId="0" applyFill="0" applyBorder="0" applyAlignment="0"/>
    <xf numFmtId="229" fontId="232" fillId="0" borderId="0" applyFill="0" applyBorder="0" applyAlignment="0"/>
    <xf numFmtId="268" fontId="230" fillId="0" borderId="0" applyFill="0" applyBorder="0" applyAlignment="0"/>
    <xf numFmtId="230" fontId="65" fillId="0" borderId="0" applyFill="0" applyBorder="0" applyAlignment="0"/>
    <xf numFmtId="230" fontId="65" fillId="0" borderId="0" applyFill="0" applyBorder="0" applyAlignment="0"/>
    <xf numFmtId="269" fontId="230" fillId="0" borderId="0" applyFill="0" applyBorder="0" applyAlignment="0"/>
    <xf numFmtId="202" fontId="232" fillId="0" borderId="0" applyFill="0" applyBorder="0" applyAlignment="0"/>
    <xf numFmtId="202" fontId="232" fillId="0" borderId="0" applyFill="0" applyBorder="0" applyAlignment="0"/>
    <xf numFmtId="270" fontId="230" fillId="0" borderId="0" applyFill="0" applyBorder="0" applyAlignment="0"/>
    <xf numFmtId="231" fontId="232" fillId="0" borderId="0" applyFill="0" applyBorder="0" applyAlignment="0"/>
    <xf numFmtId="231" fontId="232" fillId="0" borderId="0" applyFill="0" applyBorder="0" applyAlignment="0"/>
    <xf numFmtId="271" fontId="230" fillId="0" borderId="0" applyFill="0" applyBorder="0" applyAlignment="0"/>
    <xf numFmtId="228" fontId="232" fillId="0" borderId="0" applyFill="0" applyBorder="0" applyAlignment="0"/>
    <xf numFmtId="0" fontId="293" fillId="26" borderId="35" applyNumberFormat="0" applyAlignment="0" applyProtection="0"/>
    <xf numFmtId="0" fontId="293" fillId="26" borderId="35" applyNumberFormat="0" applyAlignment="0" applyProtection="0"/>
    <xf numFmtId="0" fontId="293" fillId="26" borderId="35" applyNumberFormat="0" applyAlignment="0" applyProtection="0"/>
    <xf numFmtId="0" fontId="191" fillId="0" borderId="0"/>
    <xf numFmtId="232" fontId="233" fillId="0" borderId="33" applyBorder="0"/>
    <xf numFmtId="232" fontId="234" fillId="0" borderId="5">
      <protection locked="0"/>
    </xf>
    <xf numFmtId="300" fontId="214" fillId="0" borderId="0" applyFont="0" applyFill="0" applyBorder="0" applyAlignment="0" applyProtection="0"/>
    <xf numFmtId="233" fontId="235" fillId="0" borderId="5"/>
    <xf numFmtId="0" fontId="294" fillId="37" borderId="36" applyNumberFormat="0" applyAlignment="0" applyProtection="0"/>
    <xf numFmtId="0" fontId="294" fillId="37" borderId="36" applyNumberFormat="0" applyAlignment="0" applyProtection="0"/>
    <xf numFmtId="0" fontId="294" fillId="37" borderId="36" applyNumberFormat="0" applyAlignment="0" applyProtection="0"/>
    <xf numFmtId="172" fontId="260" fillId="0" borderId="0" applyFont="0" applyFill="0" applyBorder="0" applyAlignment="0" applyProtection="0"/>
    <xf numFmtId="0" fontId="11" fillId="0" borderId="0"/>
    <xf numFmtId="0" fontId="11" fillId="0" borderId="0"/>
    <xf numFmtId="0" fontId="65" fillId="0" borderId="0"/>
    <xf numFmtId="0" fontId="11" fillId="0" borderId="0"/>
    <xf numFmtId="0" fontId="11" fillId="0" borderId="0"/>
    <xf numFmtId="1" fontId="236" fillId="0" borderId="11" applyBorder="0"/>
    <xf numFmtId="214" fontId="192" fillId="0" borderId="0"/>
    <xf numFmtId="214" fontId="192" fillId="0" borderId="0"/>
    <xf numFmtId="177" fontId="230" fillId="0" borderId="0"/>
    <xf numFmtId="214" fontId="192" fillId="0" borderId="0"/>
    <xf numFmtId="214" fontId="192" fillId="0" borderId="0"/>
    <xf numFmtId="177" fontId="230" fillId="0" borderId="0"/>
    <xf numFmtId="214" fontId="192" fillId="0" borderId="0"/>
    <xf numFmtId="214" fontId="192" fillId="0" borderId="0"/>
    <xf numFmtId="177" fontId="230" fillId="0" borderId="0"/>
    <xf numFmtId="214" fontId="192" fillId="0" borderId="0"/>
    <xf numFmtId="214" fontId="192" fillId="0" borderId="0"/>
    <xf numFmtId="177" fontId="230" fillId="0" borderId="0"/>
    <xf numFmtId="214" fontId="192" fillId="0" borderId="0"/>
    <xf numFmtId="214" fontId="192" fillId="0" borderId="0"/>
    <xf numFmtId="177" fontId="230" fillId="0" borderId="0"/>
    <xf numFmtId="214" fontId="192" fillId="0" borderId="0"/>
    <xf numFmtId="214" fontId="192" fillId="0" borderId="0"/>
    <xf numFmtId="177" fontId="230" fillId="0" borderId="0"/>
    <xf numFmtId="214" fontId="192" fillId="0" borderId="0"/>
    <xf numFmtId="214" fontId="192" fillId="0" borderId="0"/>
    <xf numFmtId="177" fontId="230" fillId="0" borderId="0"/>
    <xf numFmtId="214" fontId="192" fillId="0" borderId="0"/>
    <xf numFmtId="214" fontId="192" fillId="0" borderId="0"/>
    <xf numFmtId="177" fontId="230" fillId="0" borderId="0"/>
    <xf numFmtId="168" fontId="280" fillId="0" borderId="0" applyFont="0" applyFill="0" applyBorder="0" applyAlignment="0" applyProtection="0"/>
    <xf numFmtId="279" fontId="65" fillId="0" borderId="0" applyFont="0" applyFill="0" applyBorder="0" applyAlignment="0" applyProtection="0"/>
    <xf numFmtId="168" fontId="65" fillId="0" borderId="0" applyFont="0" applyFill="0" applyBorder="0" applyAlignment="0" applyProtection="0"/>
    <xf numFmtId="301" fontId="335" fillId="0" borderId="0" applyFont="0" applyFill="0" applyBorder="0" applyAlignment="0" applyProtection="0"/>
    <xf numFmtId="168" fontId="358" fillId="0" borderId="0" applyFont="0" applyFill="0" applyBorder="0" applyAlignment="0" applyProtection="0"/>
    <xf numFmtId="200" fontId="230" fillId="0" borderId="0" applyFont="0" applyFill="0" applyBorder="0" applyAlignment="0" applyProtection="0"/>
    <xf numFmtId="41" fontId="230" fillId="0" borderId="0" applyFont="0" applyFill="0" applyBorder="0" applyAlignment="0" applyProtection="0"/>
    <xf numFmtId="41" fontId="65" fillId="0" borderId="0" applyFont="0" applyFill="0" applyBorder="0" applyAlignment="0" applyProtection="0"/>
    <xf numFmtId="168" fontId="230" fillId="0" borderId="0" applyFont="0" applyFill="0" applyBorder="0" applyAlignment="0" applyProtection="0"/>
    <xf numFmtId="199" fontId="230" fillId="0" borderId="0" applyFont="0" applyFill="0" applyBorder="0" applyAlignment="0" applyProtection="0"/>
    <xf numFmtId="211" fontId="290" fillId="0" borderId="0" applyFont="0" applyFill="0" applyBorder="0" applyAlignment="0" applyProtection="0"/>
    <xf numFmtId="41" fontId="38"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326" fontId="65" fillId="0" borderId="0" applyFont="0" applyFill="0" applyBorder="0" applyAlignment="0" applyProtection="0"/>
    <xf numFmtId="199" fontId="24" fillId="0" borderId="0" applyFont="0" applyFill="0" applyBorder="0" applyAlignment="0" applyProtection="0"/>
    <xf numFmtId="202" fontId="232" fillId="0" borderId="0" applyFont="0" applyFill="0" applyBorder="0" applyAlignment="0" applyProtection="0"/>
    <xf numFmtId="202" fontId="232" fillId="0" borderId="0" applyFont="0" applyFill="0" applyBorder="0" applyAlignment="0" applyProtection="0"/>
    <xf numFmtId="270" fontId="230" fillId="0" borderId="0" applyFont="0" applyFill="0" applyBorder="0" applyAlignment="0" applyProtection="0"/>
    <xf numFmtId="170" fontId="290" fillId="0" borderId="0" applyFont="0" applyFill="0" applyBorder="0" applyAlignment="0" applyProtection="0"/>
    <xf numFmtId="170" fontId="290" fillId="0" borderId="0" applyFont="0" applyFill="0" applyBorder="0" applyAlignment="0" applyProtection="0"/>
    <xf numFmtId="170" fontId="65" fillId="0" borderId="0" applyFont="0" applyFill="0" applyBorder="0" applyAlignment="0" applyProtection="0"/>
    <xf numFmtId="170" fontId="290" fillId="0" borderId="0" applyFont="0" applyFill="0" applyBorder="0" applyAlignment="0" applyProtection="0"/>
    <xf numFmtId="170" fontId="336" fillId="0" borderId="0" applyFont="0" applyFill="0" applyBorder="0" applyAlignment="0" applyProtection="0"/>
    <xf numFmtId="262" fontId="11" fillId="0" borderId="0" applyFont="0" applyFill="0" applyBorder="0" applyAlignment="0" applyProtection="0"/>
    <xf numFmtId="262" fontId="11" fillId="0" borderId="0" applyFont="0" applyFill="0" applyBorder="0" applyAlignment="0" applyProtection="0"/>
    <xf numFmtId="262" fontId="11" fillId="0" borderId="0" applyFont="0" applyFill="0" applyBorder="0" applyAlignment="0" applyProtection="0"/>
    <xf numFmtId="262" fontId="11" fillId="0" borderId="0" applyFont="0" applyFill="0" applyBorder="0" applyAlignment="0" applyProtection="0"/>
    <xf numFmtId="170" fontId="290" fillId="0" borderId="0" applyFont="0" applyFill="0" applyBorder="0" applyAlignment="0" applyProtection="0"/>
    <xf numFmtId="170" fontId="81" fillId="0" borderId="0" applyFont="0" applyFill="0" applyBorder="0" applyAlignment="0" applyProtection="0"/>
    <xf numFmtId="264" fontId="38" fillId="0" borderId="0" applyFont="0" applyFill="0" applyBorder="0" applyAlignment="0" applyProtection="0"/>
    <xf numFmtId="170" fontId="336" fillId="0" borderId="0" applyFont="0" applyFill="0" applyBorder="0" applyAlignment="0" applyProtection="0"/>
    <xf numFmtId="170" fontId="65" fillId="0" borderId="0" applyFont="0" applyFill="0" applyBorder="0" applyAlignment="0" applyProtection="0"/>
    <xf numFmtId="170" fontId="336" fillId="0" borderId="0" applyFont="0" applyFill="0" applyBorder="0" applyAlignment="0" applyProtection="0"/>
    <xf numFmtId="170" fontId="65" fillId="0" borderId="0" applyFont="0" applyFill="0" applyBorder="0" applyAlignment="0" applyProtection="0"/>
    <xf numFmtId="212" fontId="290" fillId="0" borderId="0" applyFont="0" applyFill="0" applyBorder="0" applyAlignment="0" applyProtection="0"/>
    <xf numFmtId="208" fontId="65" fillId="0" borderId="0" applyFont="0" applyFill="0" applyBorder="0" applyAlignment="0" applyProtection="0"/>
    <xf numFmtId="170" fontId="290" fillId="0" borderId="0" applyFont="0" applyFill="0" applyBorder="0" applyAlignment="0" applyProtection="0"/>
    <xf numFmtId="170" fontId="65" fillId="0" borderId="0" applyFont="0" applyFill="0" applyBorder="0" applyAlignment="0" applyProtection="0"/>
    <xf numFmtId="43" fontId="13" fillId="0" borderId="0" applyFont="0" applyFill="0" applyBorder="0" applyAlignment="0" applyProtection="0"/>
    <xf numFmtId="170" fontId="336" fillId="0" borderId="0" applyFont="0" applyFill="0" applyBorder="0" applyAlignment="0" applyProtection="0"/>
    <xf numFmtId="208" fontId="65" fillId="0" borderId="0" applyFont="0" applyFill="0" applyBorder="0" applyAlignment="0" applyProtection="0"/>
    <xf numFmtId="43" fontId="290" fillId="0" borderId="0" applyFont="0" applyFill="0" applyBorder="0" applyAlignment="0" applyProtection="0"/>
    <xf numFmtId="170" fontId="65" fillId="0" borderId="0" applyFont="0" applyFill="0" applyBorder="0" applyAlignment="0" applyProtection="0"/>
    <xf numFmtId="43" fontId="290" fillId="0" borderId="0" applyFont="0" applyFill="0" applyBorder="0" applyAlignment="0" applyProtection="0"/>
    <xf numFmtId="170" fontId="79" fillId="0" borderId="0" applyFont="0" applyFill="0" applyBorder="0" applyAlignment="0" applyProtection="0"/>
    <xf numFmtId="208" fontId="65" fillId="0" borderId="0" applyFont="0" applyFill="0" applyBorder="0" applyAlignment="0" applyProtection="0"/>
    <xf numFmtId="43" fontId="38" fillId="0" borderId="0" applyFont="0" applyFill="0" applyBorder="0" applyAlignment="0" applyProtection="0"/>
    <xf numFmtId="208" fontId="65" fillId="0" borderId="0" applyFont="0" applyFill="0" applyBorder="0" applyAlignment="0" applyProtection="0"/>
    <xf numFmtId="170" fontId="290" fillId="0" borderId="0" applyFont="0" applyFill="0" applyBorder="0" applyAlignment="0" applyProtection="0"/>
    <xf numFmtId="200" fontId="230" fillId="0" borderId="0" applyFont="0" applyFill="0" applyBorder="0" applyAlignment="0" applyProtection="0"/>
    <xf numFmtId="170" fontId="230" fillId="0" borderId="0" applyFont="0" applyFill="0" applyBorder="0" applyAlignment="0" applyProtection="0"/>
    <xf numFmtId="200" fontId="12" fillId="0" borderId="0" applyFont="0" applyFill="0" applyBorder="0" applyAlignment="0" applyProtection="0"/>
    <xf numFmtId="208" fontId="65" fillId="0" borderId="0" applyFont="0" applyFill="0" applyBorder="0" applyAlignment="0" applyProtection="0"/>
    <xf numFmtId="170" fontId="290" fillId="0" borderId="0" applyFont="0" applyFill="0" applyBorder="0" applyAlignment="0" applyProtection="0"/>
    <xf numFmtId="208" fontId="65" fillId="0" borderId="0" applyFont="0" applyFill="0" applyBorder="0" applyAlignment="0" applyProtection="0"/>
    <xf numFmtId="170" fontId="290" fillId="0" borderId="0" applyFont="0" applyFill="0" applyBorder="0" applyAlignment="0" applyProtection="0"/>
    <xf numFmtId="170" fontId="290" fillId="0" borderId="0" applyFont="0" applyFill="0" applyBorder="0" applyAlignment="0" applyProtection="0"/>
    <xf numFmtId="208" fontId="65" fillId="0" borderId="0" applyFont="0" applyFill="0" applyBorder="0" applyAlignment="0" applyProtection="0"/>
    <xf numFmtId="170" fontId="230" fillId="0" borderId="0" applyFont="0" applyFill="0" applyBorder="0" applyAlignment="0" applyProtection="0"/>
    <xf numFmtId="170" fontId="336" fillId="0" borderId="0" applyFont="0" applyFill="0" applyBorder="0" applyAlignment="0" applyProtection="0"/>
    <xf numFmtId="170" fontId="290" fillId="0" borderId="0" applyFont="0" applyFill="0" applyBorder="0" applyAlignment="0" applyProtection="0"/>
    <xf numFmtId="170" fontId="65" fillId="0" borderId="0" applyFont="0" applyFill="0" applyBorder="0" applyAlignment="0" applyProtection="0"/>
    <xf numFmtId="170" fontId="290" fillId="0" borderId="0" applyFont="0" applyFill="0" applyBorder="0" applyAlignment="0" applyProtection="0"/>
    <xf numFmtId="170" fontId="65" fillId="0" borderId="0" applyFont="0" applyFill="0" applyBorder="0" applyAlignment="0" applyProtection="0"/>
    <xf numFmtId="170" fontId="65" fillId="0" borderId="0" applyFont="0" applyFill="0" applyBorder="0" applyAlignment="0" applyProtection="0"/>
    <xf numFmtId="170" fontId="13" fillId="0" borderId="0" applyFont="0" applyFill="0" applyBorder="0" applyAlignment="0" applyProtection="0"/>
    <xf numFmtId="170" fontId="290" fillId="0" borderId="0" applyFont="0" applyFill="0" applyBorder="0" applyAlignment="0" applyProtection="0"/>
    <xf numFmtId="170" fontId="79" fillId="0" borderId="0" applyFont="0" applyFill="0" applyBorder="0" applyAlignment="0" applyProtection="0"/>
    <xf numFmtId="170" fontId="13" fillId="0" borderId="0" applyFont="0" applyFill="0" applyBorder="0" applyAlignment="0" applyProtection="0"/>
    <xf numFmtId="43" fontId="38" fillId="0" borderId="0" applyFont="0" applyFill="0" applyBorder="0" applyAlignment="0" applyProtection="0"/>
    <xf numFmtId="170" fontId="65" fillId="0" borderId="0" applyNumberFormat="0" applyFill="0" applyBorder="0" applyAlignment="0" applyProtection="0"/>
    <xf numFmtId="185" fontId="11" fillId="0" borderId="0" applyFont="0" applyFill="0" applyBorder="0" applyAlignment="0" applyProtection="0"/>
    <xf numFmtId="302" fontId="65" fillId="0" borderId="0" applyFont="0" applyFill="0" applyBorder="0" applyAlignment="0" applyProtection="0"/>
    <xf numFmtId="208" fontId="65" fillId="0" borderId="0" applyFont="0" applyFill="0" applyBorder="0" applyAlignment="0" applyProtection="0"/>
    <xf numFmtId="170" fontId="290" fillId="0" borderId="0" applyFont="0" applyFill="0" applyBorder="0" applyAlignment="0" applyProtection="0"/>
    <xf numFmtId="170" fontId="290" fillId="0" borderId="0" applyFont="0" applyFill="0" applyBorder="0" applyAlignment="0" applyProtection="0"/>
    <xf numFmtId="208" fontId="65" fillId="0" borderId="0" applyFont="0" applyFill="0" applyBorder="0" applyAlignment="0" applyProtection="0"/>
    <xf numFmtId="170" fontId="13" fillId="0" borderId="0" applyFont="0" applyFill="0" applyBorder="0" applyAlignment="0" applyProtection="0"/>
    <xf numFmtId="170" fontId="290" fillId="0" borderId="0" applyFont="0" applyFill="0" applyBorder="0" applyAlignment="0" applyProtection="0"/>
    <xf numFmtId="208" fontId="65" fillId="0" borderId="0" applyFont="0" applyFill="0" applyBorder="0" applyAlignment="0" applyProtection="0"/>
    <xf numFmtId="170" fontId="65" fillId="0" borderId="0" applyFont="0" applyFill="0" applyBorder="0" applyAlignment="0" applyProtection="0"/>
    <xf numFmtId="208" fontId="65" fillId="0" borderId="0" applyFont="0" applyFill="0" applyBorder="0" applyAlignment="0" applyProtection="0"/>
    <xf numFmtId="249" fontId="65" fillId="0" borderId="0" applyFont="0" applyFill="0" applyBorder="0" applyAlignment="0" applyProtection="0"/>
    <xf numFmtId="249" fontId="65" fillId="0" borderId="0" applyFont="0" applyFill="0" applyBorder="0" applyAlignment="0" applyProtection="0"/>
    <xf numFmtId="249" fontId="65" fillId="0" borderId="0" applyFont="0" applyFill="0" applyBorder="0" applyAlignment="0" applyProtection="0"/>
    <xf numFmtId="249" fontId="65" fillId="0" borderId="0" applyFont="0" applyFill="0" applyBorder="0" applyAlignment="0" applyProtection="0"/>
    <xf numFmtId="249" fontId="65" fillId="0" borderId="0" applyFont="0" applyFill="0" applyBorder="0" applyAlignment="0" applyProtection="0"/>
    <xf numFmtId="249" fontId="65" fillId="0" borderId="0" applyFont="0" applyFill="0" applyBorder="0" applyAlignment="0" applyProtection="0"/>
    <xf numFmtId="200" fontId="12" fillId="0" borderId="0" applyFont="0" applyFill="0" applyBorder="0" applyAlignment="0" applyProtection="0"/>
    <xf numFmtId="170" fontId="65" fillId="0" borderId="0" applyFont="0" applyFill="0" applyBorder="0" applyAlignment="0" applyProtection="0"/>
    <xf numFmtId="303" fontId="65" fillId="0" borderId="0" applyFont="0" applyFill="0" applyBorder="0" applyAlignment="0" applyProtection="0"/>
    <xf numFmtId="170" fontId="65" fillId="0" borderId="0" applyFont="0" applyFill="0" applyBorder="0" applyAlignment="0" applyProtection="0"/>
    <xf numFmtId="200" fontId="81" fillId="0" borderId="0" applyFont="0" applyFill="0" applyBorder="0" applyAlignment="0" applyProtection="0"/>
    <xf numFmtId="260" fontId="65" fillId="0" borderId="0" applyFont="0" applyFill="0" applyBorder="0" applyAlignment="0" applyProtection="0"/>
    <xf numFmtId="333" fontId="65" fillId="0" borderId="0" applyFont="0" applyFill="0" applyBorder="0" applyAlignment="0" applyProtection="0"/>
    <xf numFmtId="170" fontId="280" fillId="0" borderId="0" applyFont="0" applyFill="0" applyBorder="0" applyAlignment="0" applyProtection="0"/>
    <xf numFmtId="333" fontId="65" fillId="0" borderId="0" applyFont="0" applyFill="0" applyBorder="0" applyAlignment="0" applyProtection="0"/>
    <xf numFmtId="249" fontId="65" fillId="0" borderId="0" applyFont="0" applyFill="0" applyBorder="0" applyAlignment="0" applyProtection="0"/>
    <xf numFmtId="249" fontId="65" fillId="0" borderId="0" applyFont="0" applyFill="0" applyBorder="0" applyAlignment="0" applyProtection="0"/>
    <xf numFmtId="249" fontId="65" fillId="0" borderId="0" applyFont="0" applyFill="0" applyBorder="0" applyAlignment="0" applyProtection="0"/>
    <xf numFmtId="249" fontId="65" fillId="0" borderId="0" applyFont="0" applyFill="0" applyBorder="0" applyAlignment="0" applyProtection="0"/>
    <xf numFmtId="249" fontId="65" fillId="0" borderId="0" applyFont="0" applyFill="0" applyBorder="0" applyAlignment="0" applyProtection="0"/>
    <xf numFmtId="249" fontId="65" fillId="0" borderId="0" applyFont="0" applyFill="0" applyBorder="0" applyAlignment="0" applyProtection="0"/>
    <xf numFmtId="249" fontId="65" fillId="0" borderId="0" applyFont="0" applyFill="0" applyBorder="0" applyAlignment="0" applyProtection="0"/>
    <xf numFmtId="249" fontId="65" fillId="0" borderId="0" applyFont="0" applyFill="0" applyBorder="0" applyAlignment="0" applyProtection="0"/>
    <xf numFmtId="249" fontId="65" fillId="0" borderId="0" applyFont="0" applyFill="0" applyBorder="0" applyAlignment="0" applyProtection="0"/>
    <xf numFmtId="249" fontId="65" fillId="0" borderId="0" applyFont="0" applyFill="0" applyBorder="0" applyAlignment="0" applyProtection="0"/>
    <xf numFmtId="234" fontId="65" fillId="0" borderId="0" applyFont="0" applyFill="0" applyBorder="0" applyAlignment="0" applyProtection="0"/>
    <xf numFmtId="170" fontId="279" fillId="0" borderId="0" applyFont="0" applyFill="0" applyBorder="0" applyAlignment="0" applyProtection="0"/>
    <xf numFmtId="170" fontId="290" fillId="0" borderId="0" applyFont="0" applyFill="0" applyBorder="0" applyAlignment="0" applyProtection="0"/>
    <xf numFmtId="170" fontId="290" fillId="0" borderId="0" applyFont="0" applyFill="0" applyBorder="0" applyAlignment="0" applyProtection="0"/>
    <xf numFmtId="328" fontId="11" fillId="0" borderId="0" applyFont="0" applyFill="0" applyBorder="0" applyAlignment="0" applyProtection="0"/>
    <xf numFmtId="43" fontId="38" fillId="0" borderId="0" applyFont="0" applyFill="0" applyBorder="0" applyAlignment="0" applyProtection="0"/>
    <xf numFmtId="249" fontId="65" fillId="0" borderId="0" applyFont="0" applyFill="0" applyBorder="0" applyAlignment="0" applyProtection="0"/>
    <xf numFmtId="249" fontId="65" fillId="0" borderId="0" applyFont="0" applyFill="0" applyBorder="0" applyAlignment="0" applyProtection="0"/>
    <xf numFmtId="249" fontId="65" fillId="0" borderId="0" applyFont="0" applyFill="0" applyBorder="0" applyAlignment="0" applyProtection="0"/>
    <xf numFmtId="249" fontId="65" fillId="0" borderId="0" applyFont="0" applyFill="0" applyBorder="0" applyAlignment="0" applyProtection="0"/>
    <xf numFmtId="208" fontId="7" fillId="0" borderId="0" applyFont="0" applyFill="0" applyBorder="0" applyAlignment="0" applyProtection="0"/>
    <xf numFmtId="170" fontId="290" fillId="0" borderId="0" applyFont="0" applyFill="0" applyBorder="0" applyAlignment="0" applyProtection="0"/>
    <xf numFmtId="207" fontId="65" fillId="0" borderId="0" applyFont="0" applyFill="0" applyBorder="0" applyAlignment="0" applyProtection="0"/>
    <xf numFmtId="170" fontId="290" fillId="0" borderId="0" applyFont="0" applyFill="0" applyBorder="0" applyAlignment="0" applyProtection="0"/>
    <xf numFmtId="170" fontId="290" fillId="0" borderId="0" applyFont="0" applyFill="0" applyBorder="0" applyAlignment="0" applyProtection="0"/>
    <xf numFmtId="170" fontId="11" fillId="0" borderId="0" applyFont="0" applyFill="0" applyBorder="0" applyAlignment="0" applyProtection="0"/>
    <xf numFmtId="43" fontId="38" fillId="0" borderId="0" applyFont="0" applyFill="0" applyBorder="0" applyAlignment="0" applyProtection="0"/>
    <xf numFmtId="170" fontId="65" fillId="0" borderId="0" applyFont="0" applyFill="0" applyBorder="0" applyAlignment="0" applyProtection="0"/>
    <xf numFmtId="200" fontId="38" fillId="0" borderId="0" applyFont="0" applyFill="0" applyBorder="0" applyAlignment="0" applyProtection="0"/>
    <xf numFmtId="328" fontId="11" fillId="0" borderId="0" applyFont="0" applyFill="0" applyBorder="0" applyAlignment="0" applyProtection="0"/>
    <xf numFmtId="43" fontId="11" fillId="0" borderId="0" applyFont="0" applyFill="0" applyBorder="0" applyAlignment="0" applyProtection="0"/>
    <xf numFmtId="170" fontId="230" fillId="0" borderId="0" applyFont="0" applyFill="0" applyBorder="0" applyAlignment="0" applyProtection="0"/>
    <xf numFmtId="170" fontId="290" fillId="0" borderId="0" applyFont="0" applyFill="0" applyBorder="0" applyAlignment="0" applyProtection="0"/>
    <xf numFmtId="170" fontId="24" fillId="0" borderId="0" applyFont="0" applyFill="0" applyBorder="0" applyAlignment="0" applyProtection="0"/>
    <xf numFmtId="170" fontId="24" fillId="0" borderId="0" applyFont="0" applyFill="0" applyBorder="0" applyAlignment="0" applyProtection="0"/>
    <xf numFmtId="170" fontId="24" fillId="0" borderId="0" applyFont="0" applyFill="0" applyBorder="0" applyAlignment="0" applyProtection="0"/>
    <xf numFmtId="170" fontId="11" fillId="0" borderId="0" applyFont="0" applyFill="0" applyBorder="0" applyAlignment="0" applyProtection="0"/>
    <xf numFmtId="235" fontId="12" fillId="0" borderId="0" applyFont="0" applyFill="0" applyBorder="0" applyAlignment="0" applyProtection="0"/>
    <xf numFmtId="263" fontId="113" fillId="0" borderId="0" applyFont="0" applyFill="0" applyBorder="0" applyAlignment="0" applyProtection="0"/>
    <xf numFmtId="170" fontId="65" fillId="0" borderId="0" applyFont="0" applyFill="0" applyBorder="0" applyAlignment="0" applyProtection="0"/>
    <xf numFmtId="170" fontId="290" fillId="0" borderId="0" applyFont="0" applyFill="0" applyBorder="0" applyAlignment="0" applyProtection="0"/>
    <xf numFmtId="170" fontId="65" fillId="0" borderId="0" applyFont="0" applyFill="0" applyBorder="0" applyAlignment="0" applyProtection="0"/>
    <xf numFmtId="200" fontId="113" fillId="0" borderId="0" applyFont="0" applyFill="0" applyBorder="0" applyAlignment="0" applyProtection="0"/>
    <xf numFmtId="235" fontId="12" fillId="0" borderId="0" applyFont="0" applyFill="0" applyBorder="0" applyAlignment="0" applyProtection="0"/>
    <xf numFmtId="170" fontId="65" fillId="0" borderId="0" applyFont="0" applyFill="0" applyBorder="0" applyAlignment="0" applyProtection="0"/>
    <xf numFmtId="170" fontId="7" fillId="0" borderId="0" applyFont="0" applyFill="0" applyBorder="0" applyAlignment="0" applyProtection="0"/>
    <xf numFmtId="170" fontId="11" fillId="0" borderId="0" applyFont="0" applyFill="0" applyBorder="0" applyAlignment="0" applyProtection="0"/>
    <xf numFmtId="170" fontId="290" fillId="0" borderId="0" applyFont="0" applyFill="0" applyBorder="0" applyAlignment="0" applyProtection="0"/>
    <xf numFmtId="170" fontId="280" fillId="0" borderId="0" applyFont="0" applyFill="0" applyBorder="0" applyAlignment="0" applyProtection="0"/>
    <xf numFmtId="170" fontId="7" fillId="0" borderId="0" applyFont="0" applyFill="0" applyBorder="0" applyAlignment="0" applyProtection="0"/>
    <xf numFmtId="166" fontId="11" fillId="0" borderId="0" applyFont="0" applyFill="0" applyBorder="0" applyAlignment="0" applyProtection="0"/>
    <xf numFmtId="170" fontId="7" fillId="0" borderId="0" applyFont="0" applyFill="0" applyBorder="0" applyAlignment="0" applyProtection="0"/>
    <xf numFmtId="170" fontId="65" fillId="0" borderId="0" applyFont="0" applyFill="0" applyBorder="0" applyAlignment="0" applyProtection="0"/>
    <xf numFmtId="170" fontId="65" fillId="0" borderId="0" applyFont="0" applyFill="0" applyBorder="0" applyAlignment="0" applyProtection="0"/>
    <xf numFmtId="0" fontId="13" fillId="0" borderId="0" applyFont="0" applyFill="0" applyBorder="0" applyAlignment="0" applyProtection="0"/>
    <xf numFmtId="43" fontId="13" fillId="0" borderId="0" applyFont="0" applyFill="0" applyBorder="0" applyAlignment="0" applyProtection="0"/>
    <xf numFmtId="170" fontId="65" fillId="0" borderId="0" applyFont="0" applyFill="0" applyBorder="0" applyAlignment="0" applyProtection="0"/>
    <xf numFmtId="261"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2" fontId="79" fillId="0" borderId="0" applyFont="0" applyFill="0" applyBorder="0" applyAlignment="0" applyProtection="0"/>
    <xf numFmtId="170" fontId="65" fillId="0" borderId="0" applyFont="0" applyFill="0" applyBorder="0" applyAlignment="0" applyProtection="0"/>
    <xf numFmtId="262" fontId="11" fillId="0" borderId="0" applyFont="0" applyFill="0" applyBorder="0" applyAlignment="0" applyProtection="0"/>
    <xf numFmtId="262" fontId="11" fillId="0" borderId="0" applyFont="0" applyFill="0" applyBorder="0" applyAlignment="0" applyProtection="0"/>
    <xf numFmtId="172" fontId="79" fillId="0" borderId="0" applyFont="0" applyFill="0" applyBorder="0" applyAlignment="0" applyProtection="0"/>
    <xf numFmtId="215" fontId="54" fillId="0" borderId="0"/>
    <xf numFmtId="215" fontId="19" fillId="0" borderId="0"/>
    <xf numFmtId="3" fontId="65" fillId="0" borderId="0" applyFont="0" applyFill="0" applyBorder="0" applyAlignment="0" applyProtection="0"/>
    <xf numFmtId="0" fontId="337" fillId="0" borderId="0">
      <alignment horizontal="center"/>
    </xf>
    <xf numFmtId="0" fontId="193" fillId="0" borderId="0" applyNumberFormat="0" applyAlignment="0">
      <alignment horizontal="left"/>
    </xf>
    <xf numFmtId="283" fontId="282" fillId="0" borderId="0" applyFont="0" applyFill="0" applyBorder="0" applyAlignment="0" applyProtection="0"/>
    <xf numFmtId="304" fontId="179" fillId="0" borderId="0" applyFont="0" applyFill="0" applyBorder="0" applyAlignment="0" applyProtection="0"/>
    <xf numFmtId="236" fontId="237" fillId="0" borderId="0">
      <protection locked="0"/>
    </xf>
    <xf numFmtId="236" fontId="237" fillId="0" borderId="0">
      <protection locked="0"/>
    </xf>
    <xf numFmtId="237" fontId="237" fillId="0" borderId="0">
      <protection locked="0"/>
    </xf>
    <xf numFmtId="237" fontId="237" fillId="0" borderId="0">
      <protection locked="0"/>
    </xf>
    <xf numFmtId="238" fontId="238" fillId="0" borderId="37">
      <protection locked="0"/>
    </xf>
    <xf numFmtId="238" fontId="238" fillId="0" borderId="37">
      <protection locked="0"/>
    </xf>
    <xf numFmtId="207" fontId="237" fillId="0" borderId="0">
      <protection locked="0"/>
    </xf>
    <xf numFmtId="207" fontId="237" fillId="0" borderId="0">
      <protection locked="0"/>
    </xf>
    <xf numFmtId="239" fontId="237" fillId="0" borderId="0">
      <protection locked="0"/>
    </xf>
    <xf numFmtId="239" fontId="237" fillId="0" borderId="0">
      <protection locked="0"/>
    </xf>
    <xf numFmtId="207" fontId="237" fillId="0" borderId="0" applyNumberFormat="0">
      <protection locked="0"/>
    </xf>
    <xf numFmtId="207" fontId="237" fillId="0" borderId="0" applyNumberFormat="0">
      <protection locked="0"/>
    </xf>
    <xf numFmtId="207" fontId="237" fillId="0" borderId="0">
      <protection locked="0"/>
    </xf>
    <xf numFmtId="207" fontId="237" fillId="0" borderId="0">
      <protection locked="0"/>
    </xf>
    <xf numFmtId="232" fontId="239" fillId="0" borderId="31"/>
    <xf numFmtId="240" fontId="239" fillId="0" borderId="31"/>
    <xf numFmtId="203" fontId="309" fillId="0" borderId="0" applyFont="0" applyFill="0" applyBorder="0" applyAlignment="0" applyProtection="0"/>
    <xf numFmtId="228" fontId="232" fillId="0" borderId="0" applyFont="0" applyFill="0" applyBorder="0" applyAlignment="0" applyProtection="0"/>
    <xf numFmtId="272" fontId="79" fillId="0" borderId="0" applyFont="0" applyFill="0" applyBorder="0" applyAlignment="0" applyProtection="0"/>
    <xf numFmtId="216" fontId="65" fillId="0" borderId="0" applyFont="0" applyFill="0" applyBorder="0" applyAlignment="0" applyProtection="0"/>
    <xf numFmtId="217" fontId="65" fillId="0" borderId="0"/>
    <xf numFmtId="217" fontId="65" fillId="0" borderId="0"/>
    <xf numFmtId="217" fontId="280" fillId="0" borderId="0"/>
    <xf numFmtId="217" fontId="65" fillId="0" borderId="0"/>
    <xf numFmtId="232" fontId="221" fillId="0" borderId="31">
      <alignment horizontal="center"/>
      <protection hidden="1"/>
    </xf>
    <xf numFmtId="241" fontId="240" fillId="0" borderId="31">
      <alignment horizontal="center"/>
      <protection hidden="1"/>
    </xf>
    <xf numFmtId="241" fontId="240" fillId="0" borderId="31">
      <alignment horizontal="center"/>
      <protection hidden="1"/>
    </xf>
    <xf numFmtId="241" fontId="314" fillId="0" borderId="31">
      <alignment horizontal="center"/>
      <protection hidden="1"/>
    </xf>
    <xf numFmtId="2" fontId="221" fillId="0" borderId="31">
      <alignment horizontal="center"/>
      <protection hidden="1"/>
    </xf>
    <xf numFmtId="0" fontId="65" fillId="0" borderId="0" applyFont="0" applyFill="0" applyBorder="0" applyAlignment="0" applyProtection="0"/>
    <xf numFmtId="0" fontId="164" fillId="0" borderId="0" applyProtection="0"/>
    <xf numFmtId="14" fontId="182" fillId="0" borderId="0" applyFill="0" applyBorder="0" applyAlignment="0"/>
    <xf numFmtId="0" fontId="164" fillId="0" borderId="0" applyProtection="0"/>
    <xf numFmtId="170" fontId="174" fillId="0" borderId="0" applyFont="0" applyFill="0" applyBorder="0" applyAlignment="0" applyProtection="0"/>
    <xf numFmtId="168" fontId="280"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70" fontId="307" fillId="0" borderId="0" applyFont="0" applyFill="0" applyBorder="0" applyAlignment="0" applyProtection="0"/>
    <xf numFmtId="170" fontId="79" fillId="0" borderId="0" applyFont="0" applyFill="0" applyBorder="0" applyAlignment="0" applyProtection="0"/>
    <xf numFmtId="170" fontId="79" fillId="0" borderId="0" applyFont="0" applyFill="0" applyBorder="0" applyAlignment="0" applyProtection="0"/>
    <xf numFmtId="170" fontId="65" fillId="0" borderId="0" applyFont="0" applyFill="0" applyBorder="0" applyAlignment="0" applyProtection="0"/>
    <xf numFmtId="170" fontId="280" fillId="0" borderId="0" applyFont="0" applyFill="0" applyBorder="0" applyAlignment="0" applyProtection="0"/>
    <xf numFmtId="170" fontId="65" fillId="0" borderId="0" applyFont="0" applyFill="0" applyBorder="0" applyAlignment="0" applyProtection="0"/>
    <xf numFmtId="170" fontId="65" fillId="0" borderId="0" applyFont="0" applyFill="0" applyBorder="0" applyAlignment="0" applyProtection="0"/>
    <xf numFmtId="0" fontId="303" fillId="26" borderId="38" applyNumberFormat="0" applyAlignment="0" applyProtection="0"/>
    <xf numFmtId="0" fontId="303" fillId="26" borderId="38" applyNumberFormat="0" applyAlignment="0" applyProtection="0"/>
    <xf numFmtId="0" fontId="300" fillId="18" borderId="35" applyNumberFormat="0" applyAlignment="0" applyProtection="0"/>
    <xf numFmtId="0" fontId="300" fillId="18" borderId="35" applyNumberFormat="0" applyAlignment="0" applyProtection="0"/>
    <xf numFmtId="3" fontId="338" fillId="0" borderId="9">
      <alignment horizontal="left" vertical="top" wrapText="1"/>
    </xf>
    <xf numFmtId="0" fontId="297" fillId="0" borderId="39" applyNumberFormat="0" applyFill="0" applyAlignment="0" applyProtection="0"/>
    <xf numFmtId="0" fontId="298" fillId="0" borderId="40" applyNumberFormat="0" applyFill="0" applyAlignment="0" applyProtection="0"/>
    <xf numFmtId="0" fontId="299" fillId="0" borderId="41" applyNumberFormat="0" applyFill="0" applyAlignment="0" applyProtection="0"/>
    <xf numFmtId="0" fontId="299" fillId="0" borderId="0" applyNumberFormat="0" applyFill="0" applyBorder="0" applyAlignment="0" applyProtection="0"/>
    <xf numFmtId="0" fontId="65" fillId="0" borderId="0" applyFont="0" applyFill="0" applyBorder="0" applyAlignment="0" applyProtection="0"/>
    <xf numFmtId="0" fontId="65" fillId="0" borderId="0" applyFont="0" applyFill="0" applyBorder="0" applyAlignment="0" applyProtection="0"/>
    <xf numFmtId="252" fontId="11" fillId="0" borderId="0"/>
    <xf numFmtId="252" fontId="11" fillId="0" borderId="0"/>
    <xf numFmtId="273" fontId="11" fillId="0" borderId="0"/>
    <xf numFmtId="253" fontId="11" fillId="0" borderId="21"/>
    <xf numFmtId="253" fontId="11" fillId="0" borderId="21"/>
    <xf numFmtId="274" fontId="230" fillId="0" borderId="21"/>
    <xf numFmtId="218" fontId="65" fillId="0" borderId="0"/>
    <xf numFmtId="218" fontId="65" fillId="0" borderId="0"/>
    <xf numFmtId="218" fontId="280" fillId="0" borderId="0"/>
    <xf numFmtId="218" fontId="65" fillId="0" borderId="0"/>
    <xf numFmtId="254" fontId="11" fillId="0" borderId="0"/>
    <xf numFmtId="254" fontId="11" fillId="0" borderId="0"/>
    <xf numFmtId="275" fontId="230" fillId="0" borderId="0"/>
    <xf numFmtId="199" fontId="241" fillId="0" borderId="0" applyFont="0" applyFill="0" applyBorder="0" applyAlignment="0" applyProtection="0"/>
    <xf numFmtId="200" fontId="241" fillId="0" borderId="0" applyFont="0" applyFill="0" applyBorder="0" applyAlignment="0" applyProtection="0"/>
    <xf numFmtId="168" fontId="241" fillId="0" borderId="0" applyFont="0" applyFill="0" applyBorder="0" applyAlignment="0" applyProtection="0"/>
    <xf numFmtId="168" fontId="241" fillId="0" borderId="0" applyFont="0" applyFill="0" applyBorder="0" applyAlignment="0" applyProtection="0"/>
    <xf numFmtId="168" fontId="241" fillId="0" borderId="0" applyFont="0" applyFill="0" applyBorder="0" applyAlignment="0" applyProtection="0"/>
    <xf numFmtId="305" fontId="65" fillId="0" borderId="0" applyFont="0" applyFill="0" applyBorder="0" applyAlignment="0" applyProtection="0"/>
    <xf numFmtId="305" fontId="65" fillId="0" borderId="0" applyFont="0" applyFill="0" applyBorder="0" applyAlignment="0" applyProtection="0"/>
    <xf numFmtId="305" fontId="65" fillId="0" borderId="0" applyFont="0" applyFill="0" applyBorder="0" applyAlignment="0" applyProtection="0"/>
    <xf numFmtId="199" fontId="241" fillId="0" borderId="0" applyFont="0" applyFill="0" applyBorder="0" applyAlignment="0" applyProtection="0"/>
    <xf numFmtId="199" fontId="241" fillId="0" borderId="0" applyFont="0" applyFill="0" applyBorder="0" applyAlignment="0" applyProtection="0"/>
    <xf numFmtId="305" fontId="65" fillId="0" borderId="0" applyFont="0" applyFill="0" applyBorder="0" applyAlignment="0" applyProtection="0"/>
    <xf numFmtId="305" fontId="65" fillId="0" borderId="0" applyFont="0" applyFill="0" applyBorder="0" applyAlignment="0" applyProtection="0"/>
    <xf numFmtId="306" fontId="11" fillId="0" borderId="0" applyFont="0" applyFill="0" applyBorder="0" applyAlignment="0" applyProtection="0"/>
    <xf numFmtId="306" fontId="11" fillId="0" borderId="0" applyFont="0" applyFill="0" applyBorder="0" applyAlignment="0" applyProtection="0"/>
    <xf numFmtId="307" fontId="11" fillId="0" borderId="0" applyFont="0" applyFill="0" applyBorder="0" applyAlignment="0" applyProtection="0"/>
    <xf numFmtId="307" fontId="11" fillId="0" borderId="0" applyFont="0" applyFill="0" applyBorder="0" applyAlignment="0" applyProtection="0"/>
    <xf numFmtId="168" fontId="241" fillId="0" borderId="0" applyFont="0" applyFill="0" applyBorder="0" applyAlignment="0" applyProtection="0"/>
    <xf numFmtId="168" fontId="241" fillId="0" borderId="0" applyFont="0" applyFill="0" applyBorder="0" applyAlignment="0" applyProtection="0"/>
    <xf numFmtId="168" fontId="241" fillId="0" borderId="0" applyFont="0" applyFill="0" applyBorder="0" applyAlignment="0" applyProtection="0"/>
    <xf numFmtId="168" fontId="241" fillId="0" borderId="0" applyFont="0" applyFill="0" applyBorder="0" applyAlignment="0" applyProtection="0"/>
    <xf numFmtId="168" fontId="241" fillId="0" borderId="0" applyFont="0" applyFill="0" applyBorder="0" applyAlignment="0" applyProtection="0"/>
    <xf numFmtId="168" fontId="241" fillId="0" borderId="0" applyFont="0" applyFill="0" applyBorder="0" applyAlignment="0" applyProtection="0"/>
    <xf numFmtId="41" fontId="241" fillId="0" borderId="0" applyFont="0" applyFill="0" applyBorder="0" applyAlignment="0" applyProtection="0"/>
    <xf numFmtId="41" fontId="241" fillId="0" borderId="0" applyFont="0" applyFill="0" applyBorder="0" applyAlignment="0" applyProtection="0"/>
    <xf numFmtId="41" fontId="241" fillId="0" borderId="0" applyFont="0" applyFill="0" applyBorder="0" applyAlignment="0" applyProtection="0"/>
    <xf numFmtId="41" fontId="241" fillId="0" borderId="0" applyFont="0" applyFill="0" applyBorder="0" applyAlignment="0" applyProtection="0"/>
    <xf numFmtId="41" fontId="241" fillId="0" borderId="0" applyFont="0" applyFill="0" applyBorder="0" applyAlignment="0" applyProtection="0"/>
    <xf numFmtId="41" fontId="241" fillId="0" borderId="0" applyFont="0" applyFill="0" applyBorder="0" applyAlignment="0" applyProtection="0"/>
    <xf numFmtId="168" fontId="241" fillId="0" borderId="0" applyFont="0" applyFill="0" applyBorder="0" applyAlignment="0" applyProtection="0"/>
    <xf numFmtId="199" fontId="241" fillId="0" borderId="0" applyFont="0" applyFill="0" applyBorder="0" applyAlignment="0" applyProtection="0"/>
    <xf numFmtId="168" fontId="241" fillId="0" borderId="0" applyFont="0" applyFill="0" applyBorder="0" applyAlignment="0" applyProtection="0"/>
    <xf numFmtId="199" fontId="241" fillId="0" borderId="0" applyFont="0" applyFill="0" applyBorder="0" applyAlignment="0" applyProtection="0"/>
    <xf numFmtId="168" fontId="241" fillId="0" borderId="0" applyFont="0" applyFill="0" applyBorder="0" applyAlignment="0" applyProtection="0"/>
    <xf numFmtId="168" fontId="241" fillId="0" borderId="0" applyFont="0" applyFill="0" applyBorder="0" applyAlignment="0" applyProtection="0"/>
    <xf numFmtId="41" fontId="241" fillId="0" borderId="0" applyFont="0" applyFill="0" applyBorder="0" applyAlignment="0" applyProtection="0"/>
    <xf numFmtId="41" fontId="241" fillId="0" borderId="0" applyFont="0" applyFill="0" applyBorder="0" applyAlignment="0" applyProtection="0"/>
    <xf numFmtId="168" fontId="241" fillId="0" borderId="0" applyFont="0" applyFill="0" applyBorder="0" applyAlignment="0" applyProtection="0"/>
    <xf numFmtId="170" fontId="241" fillId="0" borderId="0" applyFont="0" applyFill="0" applyBorder="0" applyAlignment="0" applyProtection="0"/>
    <xf numFmtId="170" fontId="241" fillId="0" borderId="0" applyFont="0" applyFill="0" applyBorder="0" applyAlignment="0" applyProtection="0"/>
    <xf numFmtId="170" fontId="241" fillId="0" borderId="0" applyFont="0" applyFill="0" applyBorder="0" applyAlignment="0" applyProtection="0"/>
    <xf numFmtId="308" fontId="65" fillId="0" borderId="0" applyFont="0" applyFill="0" applyBorder="0" applyAlignment="0" applyProtection="0"/>
    <xf numFmtId="308" fontId="65" fillId="0" borderId="0" applyFont="0" applyFill="0" applyBorder="0" applyAlignment="0" applyProtection="0"/>
    <xf numFmtId="308" fontId="65" fillId="0" borderId="0" applyFont="0" applyFill="0" applyBorder="0" applyAlignment="0" applyProtection="0"/>
    <xf numFmtId="200" fontId="241" fillId="0" borderId="0" applyFont="0" applyFill="0" applyBorder="0" applyAlignment="0" applyProtection="0"/>
    <xf numFmtId="200" fontId="241" fillId="0" borderId="0" applyFont="0" applyFill="0" applyBorder="0" applyAlignment="0" applyProtection="0"/>
    <xf numFmtId="308" fontId="65" fillId="0" borderId="0" applyFont="0" applyFill="0" applyBorder="0" applyAlignment="0" applyProtection="0"/>
    <xf numFmtId="308" fontId="65" fillId="0" borderId="0" applyFont="0" applyFill="0" applyBorder="0" applyAlignment="0" applyProtection="0"/>
    <xf numFmtId="309" fontId="11" fillId="0" borderId="0" applyFont="0" applyFill="0" applyBorder="0" applyAlignment="0" applyProtection="0"/>
    <xf numFmtId="309"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170" fontId="241" fillId="0" borderId="0" applyFont="0" applyFill="0" applyBorder="0" applyAlignment="0" applyProtection="0"/>
    <xf numFmtId="170" fontId="241" fillId="0" borderId="0" applyFont="0" applyFill="0" applyBorder="0" applyAlignment="0" applyProtection="0"/>
    <xf numFmtId="170" fontId="241" fillId="0" borderId="0" applyFont="0" applyFill="0" applyBorder="0" applyAlignment="0" applyProtection="0"/>
    <xf numFmtId="170" fontId="241" fillId="0" borderId="0" applyFont="0" applyFill="0" applyBorder="0" applyAlignment="0" applyProtection="0"/>
    <xf numFmtId="170" fontId="241" fillId="0" borderId="0" applyFont="0" applyFill="0" applyBorder="0" applyAlignment="0" applyProtection="0"/>
    <xf numFmtId="170" fontId="241" fillId="0" borderId="0" applyFont="0" applyFill="0" applyBorder="0" applyAlignment="0" applyProtection="0"/>
    <xf numFmtId="43" fontId="241" fillId="0" borderId="0" applyFont="0" applyFill="0" applyBorder="0" applyAlignment="0" applyProtection="0"/>
    <xf numFmtId="43" fontId="241" fillId="0" borderId="0" applyFont="0" applyFill="0" applyBorder="0" applyAlignment="0" applyProtection="0"/>
    <xf numFmtId="43" fontId="241" fillId="0" borderId="0" applyFont="0" applyFill="0" applyBorder="0" applyAlignment="0" applyProtection="0"/>
    <xf numFmtId="43" fontId="241" fillId="0" borderId="0" applyFont="0" applyFill="0" applyBorder="0" applyAlignment="0" applyProtection="0"/>
    <xf numFmtId="43" fontId="241" fillId="0" borderId="0" applyFont="0" applyFill="0" applyBorder="0" applyAlignment="0" applyProtection="0"/>
    <xf numFmtId="43" fontId="241" fillId="0" borderId="0" applyFont="0" applyFill="0" applyBorder="0" applyAlignment="0" applyProtection="0"/>
    <xf numFmtId="170" fontId="241" fillId="0" borderId="0" applyFont="0" applyFill="0" applyBorder="0" applyAlignment="0" applyProtection="0"/>
    <xf numFmtId="200" fontId="241" fillId="0" borderId="0" applyFont="0" applyFill="0" applyBorder="0" applyAlignment="0" applyProtection="0"/>
    <xf numFmtId="170" fontId="241" fillId="0" borderId="0" applyFont="0" applyFill="0" applyBorder="0" applyAlignment="0" applyProtection="0"/>
    <xf numFmtId="200" fontId="241" fillId="0" borderId="0" applyFont="0" applyFill="0" applyBorder="0" applyAlignment="0" applyProtection="0"/>
    <xf numFmtId="170" fontId="241" fillId="0" borderId="0" applyFont="0" applyFill="0" applyBorder="0" applyAlignment="0" applyProtection="0"/>
    <xf numFmtId="170" fontId="241" fillId="0" borderId="0" applyFont="0" applyFill="0" applyBorder="0" applyAlignment="0" applyProtection="0"/>
    <xf numFmtId="43" fontId="241" fillId="0" borderId="0" applyFont="0" applyFill="0" applyBorder="0" applyAlignment="0" applyProtection="0"/>
    <xf numFmtId="43" fontId="241" fillId="0" borderId="0" applyFont="0" applyFill="0" applyBorder="0" applyAlignment="0" applyProtection="0"/>
    <xf numFmtId="170" fontId="241" fillId="0" borderId="0" applyFont="0" applyFill="0" applyBorder="0" applyAlignment="0" applyProtection="0"/>
    <xf numFmtId="3" fontId="11" fillId="0" borderId="0" applyFont="0" applyBorder="0" applyAlignment="0"/>
    <xf numFmtId="202" fontId="232" fillId="0" borderId="0" applyFill="0" applyBorder="0" applyAlignment="0"/>
    <xf numFmtId="202" fontId="232" fillId="0" borderId="0" applyFill="0" applyBorder="0" applyAlignment="0"/>
    <xf numFmtId="270" fontId="230" fillId="0" borderId="0" applyFill="0" applyBorder="0" applyAlignment="0"/>
    <xf numFmtId="228" fontId="232" fillId="0" borderId="0" applyFill="0" applyBorder="0" applyAlignment="0"/>
    <xf numFmtId="202" fontId="232" fillId="0" borderId="0" applyFill="0" applyBorder="0" applyAlignment="0"/>
    <xf numFmtId="202" fontId="232" fillId="0" borderId="0" applyFill="0" applyBorder="0" applyAlignment="0"/>
    <xf numFmtId="270" fontId="230" fillId="0" borderId="0" applyFill="0" applyBorder="0" applyAlignment="0"/>
    <xf numFmtId="231" fontId="232" fillId="0" borderId="0" applyFill="0" applyBorder="0" applyAlignment="0"/>
    <xf numFmtId="231" fontId="232" fillId="0" borderId="0" applyFill="0" applyBorder="0" applyAlignment="0"/>
    <xf numFmtId="271" fontId="230" fillId="0" borderId="0" applyFill="0" applyBorder="0" applyAlignment="0"/>
    <xf numFmtId="228" fontId="232" fillId="0" borderId="0" applyFill="0" applyBorder="0" applyAlignment="0"/>
    <xf numFmtId="0" fontId="194" fillId="0" borderId="0" applyNumberFormat="0" applyAlignment="0">
      <alignment horizontal="left"/>
    </xf>
    <xf numFmtId="0" fontId="242" fillId="0" borderId="0"/>
    <xf numFmtId="0" fontId="295" fillId="0" borderId="0" applyNumberFormat="0" applyFill="0" applyBorder="0" applyAlignment="0" applyProtection="0"/>
    <xf numFmtId="0" fontId="295" fillId="0" borderId="0" applyNumberFormat="0" applyFill="0" applyBorder="0" applyAlignment="0" applyProtection="0"/>
    <xf numFmtId="0" fontId="295" fillId="0" borderId="0" applyNumberFormat="0" applyFill="0" applyBorder="0" applyAlignment="0" applyProtection="0"/>
    <xf numFmtId="3" fontId="11" fillId="0" borderId="0" applyFont="0" applyBorder="0" applyAlignment="0"/>
    <xf numFmtId="0" fontId="65" fillId="0" borderId="0"/>
    <xf numFmtId="2" fontId="65" fillId="0" borderId="0" applyFont="0" applyFill="0" applyBorder="0" applyAlignment="0" applyProtection="0"/>
    <xf numFmtId="2" fontId="164" fillId="0" borderId="0" applyProtection="0"/>
    <xf numFmtId="0" fontId="195" fillId="0" borderId="0" applyNumberFormat="0" applyFill="0" applyBorder="0" applyProtection="0"/>
    <xf numFmtId="0" fontId="196" fillId="0" borderId="0" applyNumberFormat="0" applyFill="0" applyBorder="0" applyProtection="0">
      <alignment vertical="center"/>
    </xf>
    <xf numFmtId="0" fontId="197" fillId="0" borderId="0" applyNumberFormat="0" applyFill="0" applyBorder="0" applyAlignment="0" applyProtection="0"/>
    <xf numFmtId="0" fontId="198" fillId="0" borderId="0" applyNumberFormat="0" applyFill="0" applyBorder="0" applyProtection="0">
      <alignment vertical="center"/>
    </xf>
    <xf numFmtId="0" fontId="199" fillId="0" borderId="0" applyNumberFormat="0" applyFill="0" applyBorder="0" applyAlignment="0" applyProtection="0"/>
    <xf numFmtId="0" fontId="197" fillId="0" borderId="0" applyNumberFormat="0" applyFill="0" applyBorder="0" applyAlignment="0" applyProtection="0"/>
    <xf numFmtId="219" fontId="200" fillId="0" borderId="42" applyNumberFormat="0" applyFill="0" applyBorder="0" applyAlignment="0" applyProtection="0"/>
    <xf numFmtId="0" fontId="201" fillId="0" borderId="0" applyNumberFormat="0" applyFill="0" applyBorder="0" applyAlignment="0" applyProtection="0"/>
    <xf numFmtId="0" fontId="11" fillId="22" borderId="43" applyNumberFormat="0" applyFont="0" applyAlignment="0" applyProtection="0"/>
    <xf numFmtId="0" fontId="11" fillId="22" borderId="43" applyNumberFormat="0" applyFont="0" applyAlignment="0" applyProtection="0"/>
    <xf numFmtId="0" fontId="339" fillId="0" borderId="0">
      <alignment vertical="top" wrapText="1"/>
    </xf>
    <xf numFmtId="0" fontId="296" fillId="19" borderId="0" applyNumberFormat="0" applyBorder="0" applyAlignment="0" applyProtection="0"/>
    <xf numFmtId="0" fontId="296" fillId="19" borderId="0" applyNumberFormat="0" applyBorder="0" applyAlignment="0" applyProtection="0"/>
    <xf numFmtId="0" fontId="296" fillId="19" borderId="0" applyNumberFormat="0" applyBorder="0" applyAlignment="0" applyProtection="0"/>
    <xf numFmtId="38" fontId="178" fillId="13" borderId="0" applyNumberFormat="0" applyBorder="0" applyAlignment="0" applyProtection="0"/>
    <xf numFmtId="310" fontId="55" fillId="13" borderId="0" applyBorder="0" applyProtection="0"/>
    <xf numFmtId="0" fontId="243" fillId="0" borderId="7" applyNumberFormat="0" applyFill="0" applyBorder="0" applyAlignment="0" applyProtection="0">
      <alignment horizontal="center" vertical="center"/>
    </xf>
    <xf numFmtId="0" fontId="244" fillId="0" borderId="0" applyNumberFormat="0" applyFont="0" applyBorder="0" applyAlignment="0">
      <alignment horizontal="left" vertical="center"/>
    </xf>
    <xf numFmtId="311" fontId="179" fillId="0" borderId="0" applyFont="0" applyFill="0" applyBorder="0" applyAlignment="0" applyProtection="0"/>
    <xf numFmtId="311" fontId="179" fillId="0" borderId="0" applyFont="0" applyFill="0" applyBorder="0" applyAlignment="0" applyProtection="0"/>
    <xf numFmtId="311" fontId="179" fillId="0" borderId="0" applyFont="0" applyFill="0" applyBorder="0" applyAlignment="0" applyProtection="0"/>
    <xf numFmtId="311" fontId="179" fillId="0" borderId="0" applyFont="0" applyFill="0" applyBorder="0" applyAlignment="0" applyProtection="0"/>
    <xf numFmtId="0" fontId="202" fillId="38" borderId="0"/>
    <xf numFmtId="0" fontId="203" fillId="0" borderId="0">
      <alignment horizontal="left"/>
    </xf>
    <xf numFmtId="0" fontId="22" fillId="0" borderId="23">
      <alignment horizontal="left" vertical="center"/>
    </xf>
    <xf numFmtId="0" fontId="297" fillId="0" borderId="39" applyNumberFormat="0" applyFill="0" applyAlignment="0" applyProtection="0"/>
    <xf numFmtId="0" fontId="362" fillId="0" borderId="44" applyNumberFormat="0" applyFill="0" applyAlignment="0" applyProtection="0"/>
    <xf numFmtId="0" fontId="297" fillId="0" borderId="39" applyNumberFormat="0" applyFill="0" applyAlignment="0" applyProtection="0"/>
    <xf numFmtId="0" fontId="297" fillId="0" borderId="39" applyNumberFormat="0" applyFill="0" applyAlignment="0" applyProtection="0"/>
    <xf numFmtId="0" fontId="204" fillId="0" borderId="0" applyNumberFormat="0" applyFill="0" applyBorder="0" applyAlignment="0" applyProtection="0"/>
    <xf numFmtId="0" fontId="298" fillId="0" borderId="40" applyNumberFormat="0" applyFill="0" applyAlignment="0" applyProtection="0"/>
    <xf numFmtId="0" fontId="363" fillId="0" borderId="45" applyNumberFormat="0" applyFill="0" applyAlignment="0" applyProtection="0"/>
    <xf numFmtId="0" fontId="298" fillId="0" borderId="40" applyNumberFormat="0" applyFill="0" applyAlignment="0" applyProtection="0"/>
    <xf numFmtId="0" fontId="298" fillId="0" borderId="40" applyNumberFormat="0" applyFill="0" applyAlignment="0" applyProtection="0"/>
    <xf numFmtId="0" fontId="22" fillId="0" borderId="0" applyNumberFormat="0" applyFill="0" applyBorder="0" applyAlignment="0" applyProtection="0"/>
    <xf numFmtId="0" fontId="299" fillId="0" borderId="41" applyNumberFormat="0" applyFill="0" applyAlignment="0" applyProtection="0"/>
    <xf numFmtId="0" fontId="299" fillId="0" borderId="41" applyNumberFormat="0" applyFill="0" applyAlignment="0" applyProtection="0"/>
    <xf numFmtId="0" fontId="364" fillId="0" borderId="46" applyNumberFormat="0" applyFill="0" applyAlignment="0" applyProtection="0"/>
    <xf numFmtId="0" fontId="299" fillId="0" borderId="41" applyNumberFormat="0" applyFill="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364" fillId="0" borderId="0" applyNumberFormat="0" applyFill="0" applyBorder="0" applyAlignment="0" applyProtection="0"/>
    <xf numFmtId="0" fontId="299" fillId="0" borderId="0" applyNumberFormat="0" applyFill="0" applyBorder="0" applyAlignment="0" applyProtection="0"/>
    <xf numFmtId="0" fontId="204" fillId="0" borderId="0" applyProtection="0"/>
    <xf numFmtId="0" fontId="340" fillId="0" borderId="0" applyProtection="0"/>
    <xf numFmtId="0" fontId="204" fillId="0" borderId="0" applyProtection="0"/>
    <xf numFmtId="0" fontId="22" fillId="0" borderId="0" applyProtection="0"/>
    <xf numFmtId="0" fontId="341" fillId="0" borderId="0" applyProtection="0"/>
    <xf numFmtId="0" fontId="22" fillId="0" borderId="0" applyProtection="0"/>
    <xf numFmtId="0" fontId="205" fillId="0" borderId="47">
      <alignment horizontal="center"/>
    </xf>
    <xf numFmtId="0" fontId="205" fillId="0" borderId="0">
      <alignment horizontal="center"/>
    </xf>
    <xf numFmtId="164" fontId="245" fillId="39" borderId="21" applyNumberFormat="0" applyAlignment="0">
      <alignment horizontal="left" vertical="top"/>
    </xf>
    <xf numFmtId="49" fontId="246" fillId="0" borderId="21">
      <alignment vertical="center"/>
    </xf>
    <xf numFmtId="0" fontId="54" fillId="0" borderId="0"/>
    <xf numFmtId="199" fontId="11" fillId="0" borderId="0" applyFont="0" applyFill="0" applyBorder="0" applyAlignment="0" applyProtection="0"/>
    <xf numFmtId="38" fontId="175" fillId="0" borderId="0" applyFont="0" applyFill="0" applyBorder="0" applyAlignment="0" applyProtection="0"/>
    <xf numFmtId="287" fontId="214" fillId="0" borderId="0" applyFont="0" applyFill="0" applyBorder="0" applyAlignment="0" applyProtection="0"/>
    <xf numFmtId="312" fontId="187" fillId="0" borderId="0" applyFont="0" applyFill="0" applyBorder="0" applyAlignment="0" applyProtection="0"/>
    <xf numFmtId="10" fontId="178" fillId="40" borderId="21" applyNumberFormat="0" applyBorder="0" applyAlignment="0" applyProtection="0"/>
    <xf numFmtId="0" fontId="300" fillId="18" borderId="35" applyNumberFormat="0" applyAlignment="0" applyProtection="0"/>
    <xf numFmtId="0" fontId="300" fillId="18" borderId="35" applyNumberFormat="0" applyAlignment="0" applyProtection="0"/>
    <xf numFmtId="0" fontId="300" fillId="18" borderId="35" applyNumberFormat="0" applyAlignment="0" applyProtection="0"/>
    <xf numFmtId="0" fontId="359" fillId="0" borderId="0"/>
    <xf numFmtId="0" fontId="300" fillId="18" borderId="35" applyNumberFormat="0" applyAlignment="0" applyProtection="0"/>
    <xf numFmtId="0" fontId="300" fillId="18" borderId="35" applyNumberFormat="0" applyAlignment="0" applyProtection="0"/>
    <xf numFmtId="0" fontId="300" fillId="18" borderId="35" applyNumberFormat="0" applyAlignment="0" applyProtection="0"/>
    <xf numFmtId="2" fontId="286" fillId="0" borderId="22" applyBorder="0"/>
    <xf numFmtId="0" fontId="342" fillId="0" borderId="0" applyNumberFormat="0" applyFill="0" applyBorder="0" applyAlignment="0" applyProtection="0">
      <alignment vertical="top"/>
      <protection locked="0"/>
    </xf>
    <xf numFmtId="0" fontId="342" fillId="0" borderId="0" applyNumberFormat="0" applyFill="0" applyBorder="0" applyAlignment="0" applyProtection="0">
      <alignment vertical="top"/>
      <protection locked="0"/>
    </xf>
    <xf numFmtId="0" fontId="343" fillId="0" borderId="0" applyNumberFormat="0" applyFill="0" applyBorder="0" applyAlignment="0" applyProtection="0">
      <alignment vertical="top"/>
      <protection locked="0"/>
    </xf>
    <xf numFmtId="0" fontId="344" fillId="0" borderId="0" applyNumberFormat="0" applyFill="0" applyBorder="0" applyAlignment="0" applyProtection="0">
      <alignment vertical="top"/>
      <protection locked="0"/>
    </xf>
    <xf numFmtId="0" fontId="343" fillId="0" borderId="0" applyNumberFormat="0" applyFill="0" applyBorder="0" applyAlignment="0" applyProtection="0">
      <alignment vertical="top"/>
      <protection locked="0"/>
    </xf>
    <xf numFmtId="0" fontId="342" fillId="0" borderId="0" applyNumberFormat="0" applyFill="0" applyBorder="0" applyAlignment="0" applyProtection="0">
      <alignment vertical="top"/>
      <protection locked="0"/>
    </xf>
    <xf numFmtId="0" fontId="342" fillId="0" borderId="0" applyNumberFormat="0" applyFill="0" applyBorder="0" applyAlignment="0" applyProtection="0">
      <alignment vertical="top"/>
      <protection locked="0"/>
    </xf>
    <xf numFmtId="199" fontId="11" fillId="0" borderId="0" applyFont="0" applyFill="0" applyBorder="0" applyAlignment="0" applyProtection="0"/>
    <xf numFmtId="0" fontId="11" fillId="0" borderId="0"/>
    <xf numFmtId="0" fontId="52" fillId="0" borderId="48">
      <alignment horizontal="centerContinuous"/>
    </xf>
    <xf numFmtId="0" fontId="175" fillId="0" borderId="0"/>
    <xf numFmtId="0" fontId="7" fillId="0" borderId="0"/>
    <xf numFmtId="0" fontId="65" fillId="0" borderId="0"/>
    <xf numFmtId="0" fontId="280" fillId="0" borderId="0"/>
    <xf numFmtId="0" fontId="11" fillId="0" borderId="0"/>
    <xf numFmtId="0" fontId="113" fillId="0" borderId="0"/>
    <xf numFmtId="0" fontId="65" fillId="0" borderId="0"/>
    <xf numFmtId="0" fontId="279" fillId="0" borderId="0"/>
    <xf numFmtId="0" fontId="54" fillId="0" borderId="0" applyNumberFormat="0" applyFont="0" applyFill="0" applyBorder="0" applyProtection="0">
      <alignment horizontal="left" vertical="center"/>
    </xf>
    <xf numFmtId="0" fontId="175" fillId="0" borderId="0"/>
    <xf numFmtId="202" fontId="232" fillId="0" borderId="0" applyFill="0" applyBorder="0" applyAlignment="0"/>
    <xf numFmtId="202" fontId="232" fillId="0" borderId="0" applyFill="0" applyBorder="0" applyAlignment="0"/>
    <xf numFmtId="270" fontId="230" fillId="0" borderId="0" applyFill="0" applyBorder="0" applyAlignment="0"/>
    <xf numFmtId="228" fontId="232" fillId="0" borderId="0" applyFill="0" applyBorder="0" applyAlignment="0"/>
    <xf numFmtId="202" fontId="232" fillId="0" borderId="0" applyFill="0" applyBorder="0" applyAlignment="0"/>
    <xf numFmtId="202" fontId="232" fillId="0" borderId="0" applyFill="0" applyBorder="0" applyAlignment="0"/>
    <xf numFmtId="270" fontId="230" fillId="0" borderId="0" applyFill="0" applyBorder="0" applyAlignment="0"/>
    <xf numFmtId="231" fontId="232" fillId="0" borderId="0" applyFill="0" applyBorder="0" applyAlignment="0"/>
    <xf numFmtId="231" fontId="232" fillId="0" borderId="0" applyFill="0" applyBorder="0" applyAlignment="0"/>
    <xf numFmtId="271" fontId="230" fillId="0" borderId="0" applyFill="0" applyBorder="0" applyAlignment="0"/>
    <xf numFmtId="228" fontId="232" fillId="0" borderId="0" applyFill="0" applyBorder="0" applyAlignment="0"/>
    <xf numFmtId="0" fontId="301" fillId="0" borderId="49" applyNumberFormat="0" applyFill="0" applyAlignment="0" applyProtection="0"/>
    <xf numFmtId="0" fontId="301" fillId="0" borderId="49" applyNumberFormat="0" applyFill="0" applyAlignment="0" applyProtection="0"/>
    <xf numFmtId="0" fontId="301" fillId="0" borderId="49" applyNumberFormat="0" applyFill="0" applyAlignment="0" applyProtection="0"/>
    <xf numFmtId="3" fontId="310" fillId="0" borderId="9" applyNumberFormat="0" applyAlignment="0">
      <alignment horizontal="center" vertical="center"/>
    </xf>
    <xf numFmtId="3" fontId="312" fillId="0" borderId="9" applyNumberFormat="0" applyAlignment="0">
      <alignment horizontal="center" vertical="center"/>
    </xf>
    <xf numFmtId="3" fontId="245" fillId="0" borderId="9" applyNumberFormat="0" applyAlignment="0">
      <alignment horizontal="center" vertical="center"/>
    </xf>
    <xf numFmtId="232" fontId="178" fillId="0" borderId="33" applyFont="0"/>
    <xf numFmtId="3" fontId="65" fillId="0" borderId="50"/>
    <xf numFmtId="220" fontId="206" fillId="0" borderId="4" applyNumberFormat="0" applyFont="0" applyFill="0" applyBorder="0">
      <alignment horizontal="center"/>
    </xf>
    <xf numFmtId="38" fontId="175" fillId="0" borderId="0" applyFont="0" applyFill="0" applyBorder="0" applyAlignment="0" applyProtection="0"/>
    <xf numFmtId="40" fontId="175" fillId="0" borderId="0" applyFont="0" applyFill="0" applyBorder="0" applyAlignment="0" applyProtection="0"/>
    <xf numFmtId="255" fontId="11" fillId="0" borderId="0" applyFont="0" applyFill="0" applyBorder="0" applyAlignment="0" applyProtection="0"/>
    <xf numFmtId="256" fontId="11" fillId="0" borderId="0" applyFont="0" applyFill="0" applyBorder="0" applyAlignment="0" applyProtection="0"/>
    <xf numFmtId="0" fontId="287" fillId="0" borderId="5"/>
    <xf numFmtId="0" fontId="315" fillId="0" borderId="5"/>
    <xf numFmtId="0" fontId="207" fillId="0" borderId="47"/>
    <xf numFmtId="200" fontId="229" fillId="0" borderId="4"/>
    <xf numFmtId="335" fontId="289" fillId="0" borderId="4"/>
    <xf numFmtId="226" fontId="65" fillId="0" borderId="4"/>
    <xf numFmtId="276" fontId="81" fillId="0" borderId="4"/>
    <xf numFmtId="221" fontId="175" fillId="0" borderId="0" applyFont="0" applyFill="0" applyBorder="0" applyAlignment="0" applyProtection="0"/>
    <xf numFmtId="222" fontId="175" fillId="0" borderId="0" applyFont="0" applyFill="0" applyBorder="0" applyAlignment="0" applyProtection="0"/>
    <xf numFmtId="257" fontId="11" fillId="0" borderId="0" applyFont="0" applyFill="0" applyBorder="0" applyAlignment="0" applyProtection="0"/>
    <xf numFmtId="258" fontId="11" fillId="0" borderId="0" applyFont="0" applyFill="0" applyBorder="0" applyAlignment="0" applyProtection="0"/>
    <xf numFmtId="0" fontId="164" fillId="0" borderId="0" applyNumberFormat="0" applyFont="0" applyFill="0" applyAlignment="0"/>
    <xf numFmtId="0" fontId="239" fillId="0" borderId="0">
      <alignment horizontal="justify" vertical="top"/>
    </xf>
    <xf numFmtId="0" fontId="302" fillId="27" borderId="0" applyNumberFormat="0" applyBorder="0" applyAlignment="0" applyProtection="0"/>
    <xf numFmtId="0" fontId="302" fillId="27" borderId="0" applyNumberFormat="0" applyBorder="0" applyAlignment="0" applyProtection="0"/>
    <xf numFmtId="0" fontId="302" fillId="27" borderId="0" applyNumberFormat="0" applyBorder="0" applyAlignment="0" applyProtection="0"/>
    <xf numFmtId="0" fontId="54" fillId="0" borderId="0"/>
    <xf numFmtId="0" fontId="19" fillId="0" borderId="0"/>
    <xf numFmtId="0" fontId="230" fillId="0" borderId="5" applyNumberFormat="0" applyAlignment="0">
      <alignment horizontal="center"/>
    </xf>
    <xf numFmtId="37" fontId="208" fillId="0" borderId="0"/>
    <xf numFmtId="37" fontId="208" fillId="0" borderId="0"/>
    <xf numFmtId="0" fontId="247" fillId="0" borderId="21" applyNumberFormat="0" applyFont="0" applyFill="0" applyBorder="0" applyAlignment="0">
      <alignment horizontal="center"/>
    </xf>
    <xf numFmtId="223" fontId="209" fillId="0" borderId="0"/>
    <xf numFmtId="223" fontId="209" fillId="0" borderId="0"/>
    <xf numFmtId="223" fontId="209" fillId="0" borderId="0"/>
    <xf numFmtId="223" fontId="361" fillId="0" borderId="0"/>
    <xf numFmtId="329" fontId="65" fillId="0" borderId="0"/>
    <xf numFmtId="279" fontId="316" fillId="0" borderId="0"/>
    <xf numFmtId="223" fontId="361" fillId="0" borderId="0"/>
    <xf numFmtId="0" fontId="248" fillId="0" borderId="0"/>
    <xf numFmtId="0" fontId="280" fillId="0" borderId="0"/>
    <xf numFmtId="0" fontId="290" fillId="0" borderId="0">
      <alignment vertical="top"/>
    </xf>
    <xf numFmtId="0" fontId="43" fillId="0" borderId="0"/>
    <xf numFmtId="0" fontId="11" fillId="0" borderId="0"/>
    <xf numFmtId="0" fontId="43" fillId="0" borderId="0"/>
    <xf numFmtId="0" fontId="65" fillId="0" borderId="0"/>
    <xf numFmtId="0" fontId="11" fillId="0" borderId="0"/>
    <xf numFmtId="0" fontId="65" fillId="0" borderId="0"/>
    <xf numFmtId="0" fontId="65" fillId="0" borderId="0"/>
    <xf numFmtId="0" fontId="43" fillId="0" borderId="0"/>
    <xf numFmtId="0" fontId="11" fillId="0" borderId="0">
      <alignment vertical="top"/>
    </xf>
    <xf numFmtId="0" fontId="11" fillId="0" borderId="0">
      <alignment vertical="top"/>
    </xf>
    <xf numFmtId="0" fontId="43" fillId="0" borderId="0"/>
    <xf numFmtId="0" fontId="1" fillId="0" borderId="0"/>
    <xf numFmtId="0" fontId="65" fillId="0" borderId="0"/>
    <xf numFmtId="0" fontId="11" fillId="0" borderId="0">
      <alignment vertical="top"/>
    </xf>
    <xf numFmtId="0" fontId="65" fillId="0" borderId="0"/>
    <xf numFmtId="0" fontId="65" fillId="0" borderId="0"/>
    <xf numFmtId="0" fontId="65" fillId="0" borderId="0"/>
    <xf numFmtId="0" fontId="65" fillId="0" borderId="0"/>
    <xf numFmtId="0" fontId="65" fillId="0" borderId="0"/>
    <xf numFmtId="0" fontId="280" fillId="0" borderId="0"/>
    <xf numFmtId="0" fontId="280" fillId="0" borderId="0"/>
    <xf numFmtId="0" fontId="280" fillId="0" borderId="0"/>
    <xf numFmtId="0" fontId="65" fillId="0" borderId="0"/>
    <xf numFmtId="0" fontId="43" fillId="0" borderId="0"/>
    <xf numFmtId="0" fontId="370" fillId="0" borderId="0"/>
    <xf numFmtId="0" fontId="81" fillId="0" borderId="0"/>
    <xf numFmtId="0" fontId="280" fillId="0" borderId="0"/>
    <xf numFmtId="0" fontId="280" fillId="0" borderId="0"/>
    <xf numFmtId="0" fontId="280" fillId="0" borderId="0"/>
    <xf numFmtId="0" fontId="280" fillId="0" borderId="0"/>
    <xf numFmtId="0" fontId="280" fillId="0" borderId="0"/>
    <xf numFmtId="0" fontId="11" fillId="0" borderId="0">
      <alignment vertical="top"/>
    </xf>
    <xf numFmtId="0" fontId="13" fillId="0" borderId="0"/>
    <xf numFmtId="0" fontId="11" fillId="0" borderId="0">
      <alignment vertical="top"/>
    </xf>
    <xf numFmtId="0" fontId="7" fillId="0" borderId="0"/>
    <xf numFmtId="0" fontId="279" fillId="0" borderId="0">
      <alignment vertical="top"/>
    </xf>
    <xf numFmtId="0" fontId="280" fillId="0" borderId="0"/>
    <xf numFmtId="0" fontId="280" fillId="0" borderId="0"/>
    <xf numFmtId="0" fontId="280" fillId="0" borderId="0"/>
    <xf numFmtId="0" fontId="280" fillId="0" borderId="0"/>
    <xf numFmtId="0" fontId="43" fillId="0" borderId="0"/>
    <xf numFmtId="0" fontId="280" fillId="0" borderId="0"/>
    <xf numFmtId="0" fontId="11" fillId="0" borderId="0"/>
    <xf numFmtId="0" fontId="370" fillId="0" borderId="0"/>
    <xf numFmtId="0" fontId="65" fillId="0" borderId="0"/>
    <xf numFmtId="0" fontId="280" fillId="0" borderId="0"/>
    <xf numFmtId="0" fontId="280" fillId="0" borderId="0"/>
    <xf numFmtId="0" fontId="280" fillId="0" borderId="0"/>
    <xf numFmtId="0" fontId="280" fillId="0" borderId="0"/>
    <xf numFmtId="0" fontId="280" fillId="0" borderId="0"/>
    <xf numFmtId="0" fontId="290" fillId="0" borderId="0">
      <alignment vertical="top"/>
    </xf>
    <xf numFmtId="0" fontId="370" fillId="0" borderId="0"/>
    <xf numFmtId="0" fontId="81" fillId="0" borderId="0"/>
    <xf numFmtId="0" fontId="81" fillId="0" borderId="0"/>
    <xf numFmtId="0" fontId="280" fillId="0" borderId="0"/>
    <xf numFmtId="0" fontId="280" fillId="0" borderId="0"/>
    <xf numFmtId="0" fontId="280" fillId="0" borderId="0"/>
    <xf numFmtId="0" fontId="280" fillId="0" borderId="0"/>
    <xf numFmtId="0" fontId="280" fillId="0" borderId="0"/>
    <xf numFmtId="0" fontId="280" fillId="0" borderId="0"/>
    <xf numFmtId="0" fontId="65" fillId="0" borderId="0">
      <alignment vertical="top"/>
    </xf>
    <xf numFmtId="0" fontId="230" fillId="0" borderId="0"/>
    <xf numFmtId="0" fontId="370" fillId="0" borderId="0"/>
    <xf numFmtId="0" fontId="11" fillId="0" borderId="0"/>
    <xf numFmtId="0" fontId="11" fillId="0" borderId="0"/>
    <xf numFmtId="0" fontId="11" fillId="0" borderId="0"/>
    <xf numFmtId="0" fontId="280" fillId="0" borderId="0"/>
    <xf numFmtId="0" fontId="280" fillId="0" borderId="0"/>
    <xf numFmtId="0" fontId="280" fillId="0" borderId="0"/>
    <xf numFmtId="0" fontId="280" fillId="0" borderId="0"/>
    <xf numFmtId="0" fontId="280" fillId="0" borderId="0"/>
    <xf numFmtId="0" fontId="65" fillId="0" borderId="0"/>
    <xf numFmtId="0" fontId="11" fillId="0" borderId="0"/>
    <xf numFmtId="0" fontId="370" fillId="0" borderId="0"/>
    <xf numFmtId="0" fontId="371" fillId="0" borderId="0"/>
    <xf numFmtId="0" fontId="372" fillId="0" borderId="0"/>
    <xf numFmtId="0" fontId="280" fillId="0" borderId="0"/>
    <xf numFmtId="0" fontId="280" fillId="0" borderId="0"/>
    <xf numFmtId="0" fontId="280" fillId="0" borderId="0"/>
    <xf numFmtId="0" fontId="280" fillId="0" borderId="0"/>
    <xf numFmtId="0" fontId="280" fillId="0" borderId="0"/>
    <xf numFmtId="0" fontId="280" fillId="0" borderId="0"/>
    <xf numFmtId="0" fontId="370" fillId="0" borderId="0"/>
    <xf numFmtId="0" fontId="280" fillId="0" borderId="0"/>
    <xf numFmtId="0" fontId="280" fillId="0" borderId="0"/>
    <xf numFmtId="0" fontId="280" fillId="0" borderId="0"/>
    <xf numFmtId="0" fontId="280" fillId="0" borderId="0"/>
    <xf numFmtId="0" fontId="280" fillId="0" borderId="0"/>
    <xf numFmtId="0" fontId="280" fillId="0" borderId="0"/>
    <xf numFmtId="0" fontId="43" fillId="0" borderId="0"/>
    <xf numFmtId="0" fontId="280" fillId="0" borderId="0"/>
    <xf numFmtId="0" fontId="280" fillId="0" borderId="0"/>
    <xf numFmtId="0" fontId="280" fillId="0" borderId="0"/>
    <xf numFmtId="0" fontId="280" fillId="0" borderId="0"/>
    <xf numFmtId="0" fontId="280" fillId="0" borderId="0"/>
    <xf numFmtId="0" fontId="280" fillId="0" borderId="0"/>
    <xf numFmtId="0" fontId="179" fillId="0" borderId="0"/>
    <xf numFmtId="0" fontId="11" fillId="0" borderId="0"/>
    <xf numFmtId="0" fontId="290" fillId="0" borderId="0"/>
    <xf numFmtId="0" fontId="11" fillId="0" borderId="0" applyNumberFormat="0" applyFont="0" applyFill="0" applyBorder="0">
      <alignment vertical="top"/>
      <protection locked="0"/>
    </xf>
    <xf numFmtId="0" fontId="7" fillId="0" borderId="0"/>
    <xf numFmtId="0" fontId="65" fillId="0" borderId="0"/>
    <xf numFmtId="0" fontId="290" fillId="0" borderId="0"/>
    <xf numFmtId="0" fontId="13" fillId="0" borderId="0"/>
    <xf numFmtId="0" fontId="290" fillId="0" borderId="0"/>
    <xf numFmtId="0" fontId="65" fillId="0" borderId="0"/>
    <xf numFmtId="0" fontId="13" fillId="0" borderId="0"/>
    <xf numFmtId="0" fontId="336" fillId="0" borderId="0"/>
    <xf numFmtId="0" fontId="372" fillId="0" borderId="0"/>
    <xf numFmtId="0" fontId="12" fillId="0" borderId="0"/>
    <xf numFmtId="0" fontId="290" fillId="0" borderId="0"/>
    <xf numFmtId="0" fontId="13" fillId="0" borderId="0"/>
    <xf numFmtId="0" fontId="65" fillId="0" borderId="0"/>
    <xf numFmtId="0" fontId="65" fillId="0" borderId="0"/>
    <xf numFmtId="0" fontId="290" fillId="0" borderId="0"/>
    <xf numFmtId="0" fontId="290" fillId="0" borderId="0"/>
    <xf numFmtId="0" fontId="7" fillId="0" borderId="0"/>
    <xf numFmtId="0" fontId="65" fillId="0" borderId="0"/>
    <xf numFmtId="0" fontId="13" fillId="0" borderId="0"/>
    <xf numFmtId="0" fontId="280" fillId="0" borderId="0"/>
    <xf numFmtId="0" fontId="371" fillId="0" borderId="0"/>
    <xf numFmtId="0" fontId="12" fillId="0" borderId="0"/>
    <xf numFmtId="0" fontId="11" fillId="0" borderId="0"/>
    <xf numFmtId="0" fontId="371" fillId="0" borderId="0"/>
    <xf numFmtId="0" fontId="290" fillId="0" borderId="0"/>
    <xf numFmtId="0" fontId="290" fillId="0" borderId="0"/>
    <xf numFmtId="0" fontId="290" fillId="0" borderId="0"/>
    <xf numFmtId="0" fontId="279" fillId="0" borderId="0"/>
    <xf numFmtId="0" fontId="65" fillId="0" borderId="0"/>
    <xf numFmtId="0" fontId="43" fillId="0" borderId="0"/>
    <xf numFmtId="0" fontId="280" fillId="0" borderId="0"/>
    <xf numFmtId="0" fontId="280" fillId="0" borderId="0"/>
    <xf numFmtId="0" fontId="280" fillId="0" borderId="0"/>
    <xf numFmtId="0" fontId="280" fillId="0" borderId="0"/>
    <xf numFmtId="0" fontId="280" fillId="0" borderId="0"/>
    <xf numFmtId="0" fontId="280" fillId="0" borderId="0"/>
    <xf numFmtId="0" fontId="65" fillId="0" borderId="0"/>
    <xf numFmtId="0" fontId="43" fillId="0" borderId="0"/>
    <xf numFmtId="0" fontId="280" fillId="0" borderId="0"/>
    <xf numFmtId="0" fontId="280" fillId="0" borderId="0"/>
    <xf numFmtId="0" fontId="280" fillId="0" borderId="0"/>
    <xf numFmtId="0" fontId="280" fillId="0" borderId="0"/>
    <xf numFmtId="0" fontId="280" fillId="0" borderId="0"/>
    <xf numFmtId="0" fontId="65" fillId="0" borderId="0"/>
    <xf numFmtId="0" fontId="65" fillId="0" borderId="0"/>
    <xf numFmtId="0" fontId="43" fillId="0" borderId="0"/>
    <xf numFmtId="0" fontId="290" fillId="0" borderId="0"/>
    <xf numFmtId="0" fontId="280" fillId="0" borderId="0"/>
    <xf numFmtId="0" fontId="43" fillId="0" borderId="0"/>
    <xf numFmtId="0" fontId="290" fillId="0" borderId="0"/>
    <xf numFmtId="0" fontId="65" fillId="0" borderId="0"/>
    <xf numFmtId="0" fontId="43" fillId="0" borderId="0"/>
    <xf numFmtId="0" fontId="290" fillId="0" borderId="0"/>
    <xf numFmtId="0" fontId="65" fillId="0" borderId="0"/>
    <xf numFmtId="0" fontId="43" fillId="0" borderId="0"/>
    <xf numFmtId="0" fontId="290" fillId="0" borderId="0"/>
    <xf numFmtId="0" fontId="65" fillId="0" borderId="0"/>
    <xf numFmtId="0" fontId="13" fillId="0" borderId="0"/>
    <xf numFmtId="0" fontId="43" fillId="0" borderId="0"/>
    <xf numFmtId="0" fontId="13" fillId="0" borderId="0"/>
    <xf numFmtId="0" fontId="11" fillId="0" borderId="0"/>
    <xf numFmtId="0" fontId="65" fillId="0" borderId="0"/>
    <xf numFmtId="0" fontId="369" fillId="0" borderId="0"/>
    <xf numFmtId="0" fontId="230" fillId="0" borderId="0"/>
    <xf numFmtId="0" fontId="230" fillId="0" borderId="0"/>
    <xf numFmtId="0" fontId="12" fillId="0" borderId="0"/>
    <xf numFmtId="0" fontId="65" fillId="0" borderId="0"/>
    <xf numFmtId="0" fontId="65" fillId="0" borderId="0"/>
    <xf numFmtId="0" fontId="65" fillId="0" borderId="0"/>
    <xf numFmtId="0" fontId="290" fillId="0" borderId="0"/>
    <xf numFmtId="0" fontId="345" fillId="0" borderId="0"/>
    <xf numFmtId="0" fontId="345" fillId="0" borderId="0"/>
    <xf numFmtId="0" fontId="65" fillId="0" borderId="0"/>
    <xf numFmtId="0" fontId="345" fillId="0" borderId="0"/>
    <xf numFmtId="0" fontId="307" fillId="0" borderId="0"/>
    <xf numFmtId="0" fontId="65" fillId="0" borderId="0"/>
    <xf numFmtId="0" fontId="181" fillId="0" borderId="0"/>
    <xf numFmtId="0" fontId="43" fillId="0" borderId="0"/>
    <xf numFmtId="0" fontId="11" fillId="0" borderId="0"/>
    <xf numFmtId="0" fontId="12" fillId="0" borderId="0"/>
    <xf numFmtId="0" fontId="65" fillId="0" borderId="0"/>
    <xf numFmtId="0" fontId="65" fillId="0" borderId="0"/>
    <xf numFmtId="0" fontId="65" fillId="0" borderId="0"/>
    <xf numFmtId="0" fontId="65" fillId="0" borderId="0"/>
    <xf numFmtId="0" fontId="43" fillId="0" borderId="0"/>
    <xf numFmtId="0" fontId="65" fillId="0" borderId="0"/>
    <xf numFmtId="0" fontId="69" fillId="0" borderId="0"/>
    <xf numFmtId="0" fontId="65" fillId="0" borderId="0"/>
    <xf numFmtId="0" fontId="65" fillId="0" borderId="0"/>
    <xf numFmtId="0" fontId="69" fillId="0" borderId="0"/>
    <xf numFmtId="0" fontId="65" fillId="0" borderId="0"/>
    <xf numFmtId="0" fontId="65" fillId="0" borderId="0"/>
    <xf numFmtId="0" fontId="69" fillId="0" borderId="0"/>
    <xf numFmtId="0" fontId="11" fillId="0" borderId="0"/>
    <xf numFmtId="0" fontId="7" fillId="0" borderId="0"/>
    <xf numFmtId="0" fontId="7" fillId="0" borderId="0"/>
    <xf numFmtId="0" fontId="38" fillId="0" borderId="0"/>
    <xf numFmtId="0" fontId="372" fillId="0" borderId="0"/>
    <xf numFmtId="0" fontId="43" fillId="0" borderId="0"/>
    <xf numFmtId="0" fontId="38" fillId="0" borderId="0"/>
    <xf numFmtId="0" fontId="65"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5" fillId="0" borderId="0"/>
    <xf numFmtId="0" fontId="43" fillId="0" borderId="0"/>
    <xf numFmtId="0" fontId="65" fillId="0" borderId="0"/>
    <xf numFmtId="0" fontId="65" fillId="0" borderId="0"/>
    <xf numFmtId="0" fontId="43" fillId="0" borderId="0"/>
    <xf numFmtId="0" fontId="43" fillId="0" borderId="0"/>
    <xf numFmtId="0" fontId="65" fillId="0" borderId="0"/>
    <xf numFmtId="0" fontId="65" fillId="0" borderId="0"/>
    <xf numFmtId="0" fontId="308" fillId="0" borderId="0"/>
    <xf numFmtId="0" fontId="65" fillId="0" borderId="0"/>
    <xf numFmtId="0" fontId="65" fillId="0" borderId="0"/>
    <xf numFmtId="0" fontId="65" fillId="0" borderId="0"/>
    <xf numFmtId="0" fontId="11" fillId="0" borderId="0"/>
    <xf numFmtId="0" fontId="11" fillId="0" borderId="0"/>
    <xf numFmtId="0" fontId="65" fillId="0" borderId="0"/>
    <xf numFmtId="0" fontId="279" fillId="0" borderId="0"/>
    <xf numFmtId="0" fontId="309" fillId="0" borderId="0"/>
    <xf numFmtId="0" fontId="65" fillId="0" borderId="0"/>
    <xf numFmtId="0" fontId="65" fillId="0" borderId="0"/>
    <xf numFmtId="0" fontId="43" fillId="0" borderId="0"/>
    <xf numFmtId="0" fontId="43" fillId="0" borderId="0"/>
    <xf numFmtId="0" fontId="372" fillId="0" borderId="0"/>
    <xf numFmtId="0" fontId="372" fillId="0" borderId="0"/>
    <xf numFmtId="0" fontId="181" fillId="0" borderId="0"/>
    <xf numFmtId="0" fontId="79" fillId="0" borderId="0"/>
    <xf numFmtId="0" fontId="346" fillId="0" borderId="0" applyNumberFormat="0" applyFill="0" applyBorder="0" applyProtection="0">
      <alignment vertical="top"/>
    </xf>
    <xf numFmtId="0" fontId="181" fillId="0" borderId="0"/>
    <xf numFmtId="0" fontId="65" fillId="0" borderId="0"/>
    <xf numFmtId="0" fontId="181" fillId="0" borderId="0"/>
    <xf numFmtId="0" fontId="11" fillId="0" borderId="0"/>
    <xf numFmtId="0" fontId="113" fillId="0" borderId="0"/>
    <xf numFmtId="0" fontId="346" fillId="0" borderId="0" applyNumberFormat="0" applyFill="0" applyBorder="0" applyProtection="0">
      <alignment vertical="top"/>
    </xf>
    <xf numFmtId="0" fontId="182" fillId="0" borderId="0"/>
    <xf numFmtId="0" fontId="181" fillId="0" borderId="0"/>
    <xf numFmtId="0" fontId="65" fillId="0" borderId="0"/>
    <xf numFmtId="0" fontId="11" fillId="0" borderId="0"/>
    <xf numFmtId="0" fontId="309" fillId="0" borderId="0"/>
    <xf numFmtId="0" fontId="11" fillId="0" borderId="0"/>
    <xf numFmtId="0" fontId="65" fillId="0" borderId="0"/>
    <xf numFmtId="0" fontId="65" fillId="0" borderId="0"/>
    <xf numFmtId="0" fontId="13" fillId="0" borderId="0"/>
    <xf numFmtId="0" fontId="290" fillId="0" borderId="0"/>
    <xf numFmtId="0" fontId="290" fillId="0" borderId="0"/>
    <xf numFmtId="0" fontId="280" fillId="0" borderId="0"/>
    <xf numFmtId="0" fontId="79" fillId="0" borderId="0"/>
    <xf numFmtId="0" fontId="65" fillId="0" borderId="0"/>
    <xf numFmtId="0" fontId="79" fillId="0" borderId="0"/>
    <xf numFmtId="0" fontId="11" fillId="0" borderId="0"/>
    <xf numFmtId="0" fontId="65" fillId="0" borderId="0"/>
    <xf numFmtId="0" fontId="11" fillId="0" borderId="0"/>
    <xf numFmtId="0" fontId="228" fillId="0" borderId="0" applyFont="0"/>
    <xf numFmtId="0" fontId="241" fillId="0" borderId="0"/>
    <xf numFmtId="0" fontId="11" fillId="22" borderId="43" applyNumberFormat="0" applyFont="0" applyAlignment="0" applyProtection="0"/>
    <xf numFmtId="0" fontId="65" fillId="22" borderId="43" applyNumberFormat="0" applyFont="0" applyAlignment="0" applyProtection="0"/>
    <xf numFmtId="0" fontId="11" fillId="22" borderId="43" applyNumberFormat="0" applyFont="0" applyAlignment="0" applyProtection="0"/>
    <xf numFmtId="0" fontId="11" fillId="22" borderId="43" applyNumberFormat="0" applyFont="0" applyAlignment="0" applyProtection="0"/>
    <xf numFmtId="313" fontId="325" fillId="0" borderId="0" applyFont="0" applyFill="0" applyBorder="0" applyProtection="0">
      <alignment vertical="top" wrapText="1"/>
    </xf>
    <xf numFmtId="3" fontId="11" fillId="0" borderId="0"/>
    <xf numFmtId="3" fontId="11" fillId="0" borderId="0"/>
    <xf numFmtId="0" fontId="230" fillId="0" borderId="0"/>
    <xf numFmtId="3" fontId="11" fillId="0" borderId="0"/>
    <xf numFmtId="3" fontId="11" fillId="0" borderId="0"/>
    <xf numFmtId="3" fontId="11" fillId="0" borderId="0"/>
    <xf numFmtId="3" fontId="11" fillId="0" borderId="0"/>
    <xf numFmtId="3" fontId="11" fillId="0" borderId="0"/>
    <xf numFmtId="200" fontId="227" fillId="0" borderId="0" applyFont="0" applyFill="0" applyBorder="0" applyAlignment="0" applyProtection="0"/>
    <xf numFmtId="199" fontId="227" fillId="0" borderId="0" applyFont="0" applyFill="0" applyBorder="0" applyAlignment="0" applyProtection="0"/>
    <xf numFmtId="0" fontId="249" fillId="0" borderId="0" applyNumberFormat="0" applyFill="0" applyBorder="0" applyAlignment="0" applyProtection="0"/>
    <xf numFmtId="0" fontId="24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65" fillId="0" borderId="0" applyFont="0" applyFill="0" applyBorder="0" applyAlignment="0" applyProtection="0"/>
    <xf numFmtId="0" fontId="54" fillId="0" borderId="0"/>
    <xf numFmtId="0" fontId="303" fillId="26" borderId="38" applyNumberFormat="0" applyAlignment="0" applyProtection="0"/>
    <xf numFmtId="0" fontId="303" fillId="26" borderId="38" applyNumberFormat="0" applyAlignment="0" applyProtection="0"/>
    <xf numFmtId="0" fontId="303" fillId="26" borderId="38" applyNumberFormat="0" applyAlignment="0" applyProtection="0"/>
    <xf numFmtId="172" fontId="317" fillId="0" borderId="5" applyFont="0" applyBorder="0" applyAlignment="0"/>
    <xf numFmtId="242" fontId="65" fillId="0" borderId="0" applyFont="0" applyFill="0" applyBorder="0" applyAlignment="0" applyProtection="0"/>
    <xf numFmtId="242" fontId="65" fillId="0" borderId="0" applyFont="0" applyFill="0" applyBorder="0" applyAlignment="0" applyProtection="0"/>
    <xf numFmtId="168" fontId="65" fillId="0" borderId="0" applyFont="0" applyFill="0" applyBorder="0" applyAlignment="0" applyProtection="0"/>
    <xf numFmtId="14" fontId="52" fillId="0" borderId="0">
      <alignment horizontal="center" wrapText="1"/>
      <protection locked="0"/>
    </xf>
    <xf numFmtId="230" fontId="65" fillId="0" borderId="0" applyFont="0" applyFill="0" applyBorder="0" applyAlignment="0" applyProtection="0"/>
    <xf numFmtId="230" fontId="65" fillId="0" borderId="0" applyFont="0" applyFill="0" applyBorder="0" applyAlignment="0" applyProtection="0"/>
    <xf numFmtId="269" fontId="230" fillId="0" borderId="0" applyFont="0" applyFill="0" applyBorder="0" applyAlignment="0" applyProtection="0"/>
    <xf numFmtId="243" fontId="65" fillId="0" borderId="0" applyFont="0" applyFill="0" applyBorder="0" applyAlignment="0" applyProtection="0"/>
    <xf numFmtId="10" fontId="65" fillId="0" borderId="0" applyFont="0" applyFill="0" applyBorder="0" applyAlignment="0" applyProtection="0"/>
    <xf numFmtId="9" fontId="65" fillId="0" borderId="0" applyFont="0" applyFill="0" applyBorder="0" applyAlignment="0" applyProtection="0"/>
    <xf numFmtId="9" fontId="280" fillId="0" borderId="0" applyFont="0" applyFill="0" applyBorder="0" applyAlignment="0" applyProtection="0"/>
    <xf numFmtId="9" fontId="79"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65" fillId="0" borderId="0" applyFont="0" applyFill="0" applyBorder="0" applyAlignment="0" applyProtection="0"/>
    <xf numFmtId="9" fontId="11" fillId="0" borderId="0" applyFont="0" applyFill="0" applyBorder="0" applyAlignment="0" applyProtection="0"/>
    <xf numFmtId="0" fontId="65" fillId="0" borderId="0"/>
    <xf numFmtId="9" fontId="79" fillId="0" borderId="0" applyFont="0" applyFill="0" applyBorder="0" applyAlignment="0" applyProtection="0"/>
    <xf numFmtId="9" fontId="279" fillId="0" borderId="0" applyFont="0" applyFill="0" applyBorder="0" applyAlignment="0" applyProtection="0"/>
    <xf numFmtId="9" fontId="279" fillId="0" borderId="0" applyFont="0" applyFill="0" applyBorder="0" applyAlignment="0" applyProtection="0"/>
    <xf numFmtId="9" fontId="279" fillId="0" borderId="0" applyFont="0" applyFill="0" applyBorder="0" applyAlignment="0" applyProtection="0"/>
    <xf numFmtId="9" fontId="290" fillId="0" borderId="0" applyFont="0" applyFill="0" applyBorder="0" applyAlignment="0" applyProtection="0"/>
    <xf numFmtId="9" fontId="28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36" fillId="0" borderId="0" applyFont="0" applyFill="0" applyBorder="0" applyAlignment="0" applyProtection="0"/>
    <xf numFmtId="9" fontId="230" fillId="0" borderId="0" applyFont="0" applyFill="0" applyBorder="0" applyAlignment="0" applyProtection="0"/>
    <xf numFmtId="9" fontId="290" fillId="0" borderId="0" applyFont="0" applyFill="0" applyBorder="0" applyAlignment="0" applyProtection="0"/>
    <xf numFmtId="9" fontId="175" fillId="0" borderId="51" applyNumberFormat="0" applyBorder="0"/>
    <xf numFmtId="9" fontId="280" fillId="0" borderId="0" applyFont="0" applyFill="0" applyBorder="0" applyAlignment="0" applyProtection="0"/>
    <xf numFmtId="9" fontId="65" fillId="0" borderId="0" applyFont="0" applyFill="0" applyBorder="0" applyAlignment="0" applyProtection="0"/>
    <xf numFmtId="202" fontId="232" fillId="0" borderId="0" applyFill="0" applyBorder="0" applyAlignment="0"/>
    <xf numFmtId="202" fontId="232" fillId="0" borderId="0" applyFill="0" applyBorder="0" applyAlignment="0"/>
    <xf numFmtId="270" fontId="230" fillId="0" borderId="0" applyFill="0" applyBorder="0" applyAlignment="0"/>
    <xf numFmtId="228" fontId="232" fillId="0" borderId="0" applyFill="0" applyBorder="0" applyAlignment="0"/>
    <xf numFmtId="202" fontId="232" fillId="0" borderId="0" applyFill="0" applyBorder="0" applyAlignment="0"/>
    <xf numFmtId="202" fontId="232" fillId="0" borderId="0" applyFill="0" applyBorder="0" applyAlignment="0"/>
    <xf numFmtId="270" fontId="230" fillId="0" borderId="0" applyFill="0" applyBorder="0" applyAlignment="0"/>
    <xf numFmtId="231" fontId="232" fillId="0" borderId="0" applyFill="0" applyBorder="0" applyAlignment="0"/>
    <xf numFmtId="231" fontId="232" fillId="0" borderId="0" applyFill="0" applyBorder="0" applyAlignment="0"/>
    <xf numFmtId="271" fontId="230" fillId="0" borderId="0" applyFill="0" applyBorder="0" applyAlignment="0"/>
    <xf numFmtId="228" fontId="232" fillId="0" borderId="0" applyFill="0" applyBorder="0" applyAlignment="0"/>
    <xf numFmtId="0" fontId="250" fillId="0" borderId="0"/>
    <xf numFmtId="0" fontId="175" fillId="0" borderId="0" applyNumberFormat="0" applyFont="0" applyFill="0" applyBorder="0" applyAlignment="0" applyProtection="0">
      <alignment horizontal="left"/>
    </xf>
    <xf numFmtId="0" fontId="251" fillId="0" borderId="47">
      <alignment horizontal="center"/>
    </xf>
    <xf numFmtId="0" fontId="252" fillId="0" borderId="52" applyFont="0">
      <alignment horizontal="left"/>
    </xf>
    <xf numFmtId="0" fontId="252" fillId="0" borderId="52">
      <alignment horizontal="left"/>
    </xf>
    <xf numFmtId="1" fontId="65" fillId="0" borderId="9" applyNumberFormat="0" applyFill="0" applyAlignment="0" applyProtection="0">
      <alignment horizontal="center" vertical="center"/>
    </xf>
    <xf numFmtId="0" fontId="210" fillId="41" borderId="0" applyNumberFormat="0" applyFont="0" applyBorder="0" applyAlignment="0">
      <alignment horizontal="center"/>
    </xf>
    <xf numFmtId="14" fontId="211" fillId="0" borderId="0" applyNumberFormat="0" applyFill="0" applyBorder="0" applyAlignment="0" applyProtection="0">
      <alignment horizontal="left"/>
    </xf>
    <xf numFmtId="280" fontId="65" fillId="0" borderId="0" applyNumberFormat="0" applyFill="0" applyBorder="0" applyAlignment="0" applyProtection="0">
      <alignment horizontal="left"/>
    </xf>
    <xf numFmtId="0" fontId="343" fillId="0" borderId="0" applyNumberFormat="0" applyFill="0" applyBorder="0" applyAlignment="0" applyProtection="0">
      <alignment vertical="top"/>
      <protection locked="0"/>
    </xf>
    <xf numFmtId="0" fontId="230" fillId="0" borderId="0"/>
    <xf numFmtId="287" fontId="21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8" fontId="214" fillId="0" borderId="0" applyFont="0" applyFill="0" applyBorder="0" applyAlignment="0" applyProtection="0"/>
    <xf numFmtId="4" fontId="218" fillId="42" borderId="53" applyNumberFormat="0" applyProtection="0">
      <alignment vertical="center"/>
    </xf>
    <xf numFmtId="4" fontId="253" fillId="42" borderId="53" applyNumberFormat="0" applyProtection="0">
      <alignment vertical="center"/>
    </xf>
    <xf numFmtId="4" fontId="219" fillId="42" borderId="53" applyNumberFormat="0" applyProtection="0">
      <alignment horizontal="left" vertical="center" indent="1"/>
    </xf>
    <xf numFmtId="4" fontId="219" fillId="43" borderId="0" applyNumberFormat="0" applyProtection="0">
      <alignment horizontal="left" vertical="center" indent="1"/>
    </xf>
    <xf numFmtId="4" fontId="219" fillId="44" borderId="53" applyNumberFormat="0" applyProtection="0">
      <alignment horizontal="right" vertical="center"/>
    </xf>
    <xf numFmtId="4" fontId="219" fillId="45" borderId="53" applyNumberFormat="0" applyProtection="0">
      <alignment horizontal="right" vertical="center"/>
    </xf>
    <xf numFmtId="4" fontId="219" fillId="46" borderId="53" applyNumberFormat="0" applyProtection="0">
      <alignment horizontal="right" vertical="center"/>
    </xf>
    <xf numFmtId="4" fontId="219" fillId="47" borderId="53" applyNumberFormat="0" applyProtection="0">
      <alignment horizontal="right" vertical="center"/>
    </xf>
    <xf numFmtId="4" fontId="219" fillId="48" borderId="53" applyNumberFormat="0" applyProtection="0">
      <alignment horizontal="right" vertical="center"/>
    </xf>
    <xf numFmtId="4" fontId="219" fillId="2" borderId="53" applyNumberFormat="0" applyProtection="0">
      <alignment horizontal="right" vertical="center"/>
    </xf>
    <xf numFmtId="4" fontId="219" fillId="49" borderId="53" applyNumberFormat="0" applyProtection="0">
      <alignment horizontal="right" vertical="center"/>
    </xf>
    <xf numFmtId="4" fontId="219" fillId="50" borderId="53" applyNumberFormat="0" applyProtection="0">
      <alignment horizontal="right" vertical="center"/>
    </xf>
    <xf numFmtId="4" fontId="219" fillId="51" borderId="53" applyNumberFormat="0" applyProtection="0">
      <alignment horizontal="right" vertical="center"/>
    </xf>
    <xf numFmtId="4" fontId="218" fillId="52" borderId="54" applyNumberFormat="0" applyProtection="0">
      <alignment horizontal="left" vertical="center" indent="1"/>
    </xf>
    <xf numFmtId="4" fontId="218" fillId="53" borderId="0" applyNumberFormat="0" applyProtection="0">
      <alignment horizontal="left" vertical="center" indent="1"/>
    </xf>
    <xf numFmtId="4" fontId="218" fillId="43" borderId="0" applyNumberFormat="0" applyProtection="0">
      <alignment horizontal="left" vertical="center" indent="1"/>
    </xf>
    <xf numFmtId="4" fontId="219" fillId="53" borderId="53" applyNumberFormat="0" applyProtection="0">
      <alignment horizontal="right" vertical="center"/>
    </xf>
    <xf numFmtId="4" fontId="182" fillId="53" borderId="0" applyNumberFormat="0" applyProtection="0">
      <alignment horizontal="left" vertical="center" indent="1"/>
    </xf>
    <xf numFmtId="4" fontId="182" fillId="43" borderId="0" applyNumberFormat="0" applyProtection="0">
      <alignment horizontal="left" vertical="center" indent="1"/>
    </xf>
    <xf numFmtId="4" fontId="219" fillId="54" borderId="53" applyNumberFormat="0" applyProtection="0">
      <alignment vertical="center"/>
    </xf>
    <xf numFmtId="4" fontId="254" fillId="54" borderId="53" applyNumberFormat="0" applyProtection="0">
      <alignment vertical="center"/>
    </xf>
    <xf numFmtId="4" fontId="218" fillId="53" borderId="55" applyNumberFormat="0" applyProtection="0">
      <alignment horizontal="left" vertical="center" indent="1"/>
    </xf>
    <xf numFmtId="4" fontId="219" fillId="54" borderId="53" applyNumberFormat="0" applyProtection="0">
      <alignment horizontal="right" vertical="center"/>
    </xf>
    <xf numFmtId="4" fontId="254" fillId="54" borderId="53" applyNumberFormat="0" applyProtection="0">
      <alignment horizontal="right" vertical="center"/>
    </xf>
    <xf numFmtId="4" fontId="218" fillId="53" borderId="53" applyNumberFormat="0" applyProtection="0">
      <alignment horizontal="left" vertical="center" indent="1"/>
    </xf>
    <xf numFmtId="4" fontId="255" fillId="39" borderId="55" applyNumberFormat="0" applyProtection="0">
      <alignment horizontal="left" vertical="center" indent="1"/>
    </xf>
    <xf numFmtId="4" fontId="256" fillId="54" borderId="53" applyNumberFormat="0" applyProtection="0">
      <alignment horizontal="right" vertical="center"/>
    </xf>
    <xf numFmtId="314" fontId="347" fillId="0" borderId="0" applyFont="0" applyFill="0" applyBorder="0" applyAlignment="0" applyProtection="0"/>
    <xf numFmtId="0" fontId="210" fillId="1" borderId="23" applyNumberFormat="0" applyFont="0" applyAlignment="0">
      <alignment horizontal="center"/>
    </xf>
    <xf numFmtId="0" fontId="348" fillId="0" borderId="0" applyNumberFormat="0" applyFill="0" applyBorder="0" applyAlignment="0" applyProtection="0">
      <alignment vertical="top"/>
      <protection locked="0"/>
    </xf>
    <xf numFmtId="3" fontId="324" fillId="0" borderId="0"/>
    <xf numFmtId="0" fontId="212" fillId="0" borderId="0" applyNumberFormat="0" applyFill="0" applyBorder="0" applyAlignment="0">
      <alignment horizontal="center"/>
    </xf>
    <xf numFmtId="0" fontId="349" fillId="0" borderId="18" applyNumberFormat="0" applyFill="0" applyBorder="0" applyAlignment="0" applyProtection="0"/>
    <xf numFmtId="172" fontId="257" fillId="0" borderId="0" applyNumberFormat="0" applyBorder="0" applyAlignment="0">
      <alignment horizontal="centerContinuous"/>
    </xf>
    <xf numFmtId="0" fontId="230" fillId="0" borderId="0" applyNumberFormat="0" applyFill="0" applyBorder="0" applyAlignment="0" applyProtection="0"/>
    <xf numFmtId="0" fontId="277" fillId="0" borderId="0"/>
    <xf numFmtId="172" fontId="260"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172" fontId="260" fillId="0" borderId="0" applyFont="0" applyFill="0" applyBorder="0" applyAlignment="0" applyProtection="0"/>
    <xf numFmtId="172" fontId="260" fillId="0" borderId="0" applyFont="0" applyFill="0" applyBorder="0" applyAlignment="0" applyProtection="0"/>
    <xf numFmtId="168" fontId="214" fillId="0" borderId="0" applyFont="0" applyFill="0" applyBorder="0" applyAlignment="0" applyProtection="0"/>
    <xf numFmtId="41" fontId="214" fillId="0" borderId="0" applyFont="0" applyFill="0" applyBorder="0" applyAlignment="0" applyProtection="0"/>
    <xf numFmtId="41" fontId="214" fillId="0" borderId="0" applyFont="0" applyFill="0" applyBorder="0" applyAlignment="0" applyProtection="0"/>
    <xf numFmtId="287" fontId="214" fillId="0" borderId="0" applyFont="0" applyFill="0" applyBorder="0" applyAlignment="0" applyProtection="0"/>
    <xf numFmtId="172" fontId="260" fillId="0" borderId="0" applyFont="0" applyFill="0" applyBorder="0" applyAlignment="0" applyProtection="0"/>
    <xf numFmtId="41" fontId="214" fillId="0" borderId="0" applyFont="0" applyFill="0" applyBorder="0" applyAlignment="0" applyProtection="0"/>
    <xf numFmtId="41" fontId="214" fillId="0" borderId="0" applyFont="0" applyFill="0" applyBorder="0" applyAlignment="0" applyProtection="0"/>
    <xf numFmtId="168" fontId="214" fillId="0" borderId="0" applyFont="0" applyFill="0" applyBorder="0" applyAlignment="0" applyProtection="0"/>
    <xf numFmtId="168" fontId="214" fillId="0" borderId="0" applyFont="0" applyFill="0" applyBorder="0" applyAlignment="0" applyProtection="0"/>
    <xf numFmtId="167" fontId="214" fillId="0" borderId="0" applyFont="0" applyFill="0" applyBorder="0" applyAlignment="0" applyProtection="0"/>
    <xf numFmtId="292" fontId="214" fillId="0" borderId="0" applyFont="0" applyFill="0" applyBorder="0" applyAlignment="0" applyProtection="0"/>
    <xf numFmtId="291" fontId="324" fillId="0" borderId="0" applyFont="0" applyFill="0" applyBorder="0" applyAlignment="0" applyProtection="0"/>
    <xf numFmtId="291" fontId="214" fillId="0" borderId="0" applyFont="0" applyFill="0" applyBorder="0" applyAlignment="0" applyProtection="0"/>
    <xf numFmtId="0" fontId="230" fillId="0" borderId="0"/>
    <xf numFmtId="315" fontId="179" fillId="0" borderId="0" applyFont="0" applyFill="0" applyBorder="0" applyAlignment="0" applyProtection="0"/>
    <xf numFmtId="287" fontId="214" fillId="0" borderId="0" applyFont="0" applyFill="0" applyBorder="0" applyAlignment="0" applyProtection="0"/>
    <xf numFmtId="172" fontId="260"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172" fontId="260" fillId="0" borderId="0" applyFont="0" applyFill="0" applyBorder="0" applyAlignment="0" applyProtection="0"/>
    <xf numFmtId="172" fontId="260" fillId="0" borderId="0" applyFont="0" applyFill="0" applyBorder="0" applyAlignment="0" applyProtection="0"/>
    <xf numFmtId="287" fontId="214" fillId="0" borderId="0" applyFont="0" applyFill="0" applyBorder="0" applyAlignment="0" applyProtection="0"/>
    <xf numFmtId="199" fontId="214" fillId="0" borderId="0" applyFont="0" applyFill="0" applyBorder="0" applyAlignment="0" applyProtection="0"/>
    <xf numFmtId="41" fontId="214" fillId="0" borderId="0" applyFont="0" applyFill="0" applyBorder="0" applyAlignment="0" applyProtection="0"/>
    <xf numFmtId="41" fontId="214" fillId="0" borderId="0" applyFont="0" applyFill="0" applyBorder="0" applyAlignment="0" applyProtection="0"/>
    <xf numFmtId="286" fontId="214" fillId="0" borderId="0" applyFont="0" applyFill="0" applyBorder="0" applyAlignment="0" applyProtection="0"/>
    <xf numFmtId="168" fontId="214" fillId="0" borderId="0" applyFont="0" applyFill="0" applyBorder="0" applyAlignment="0" applyProtection="0"/>
    <xf numFmtId="199" fontId="214" fillId="0" borderId="0" applyFont="0" applyFill="0" applyBorder="0" applyAlignment="0" applyProtection="0"/>
    <xf numFmtId="199" fontId="214" fillId="0" borderId="0" applyFont="0" applyFill="0" applyBorder="0" applyAlignment="0" applyProtection="0"/>
    <xf numFmtId="199" fontId="214" fillId="0" borderId="0" applyFont="0" applyFill="0" applyBorder="0" applyAlignment="0" applyProtection="0"/>
    <xf numFmtId="199" fontId="214" fillId="0" borderId="0" applyFont="0" applyFill="0" applyBorder="0" applyAlignment="0" applyProtection="0"/>
    <xf numFmtId="168" fontId="214" fillId="0" borderId="0" applyFont="0" applyFill="0" applyBorder="0" applyAlignment="0" applyProtection="0"/>
    <xf numFmtId="41" fontId="214" fillId="0" borderId="0" applyFont="0" applyFill="0" applyBorder="0" applyAlignment="0" applyProtection="0"/>
    <xf numFmtId="41" fontId="214" fillId="0" borderId="0" applyFont="0" applyFill="0" applyBorder="0" applyAlignment="0" applyProtection="0"/>
    <xf numFmtId="287" fontId="214" fillId="0" borderId="0" applyFont="0" applyFill="0" applyBorder="0" applyAlignment="0" applyProtection="0"/>
    <xf numFmtId="199" fontId="214" fillId="0" borderId="0" applyFont="0" applyFill="0" applyBorder="0" applyAlignment="0" applyProtection="0"/>
    <xf numFmtId="286" fontId="214" fillId="0" borderId="0" applyFont="0" applyFill="0" applyBorder="0" applyAlignment="0" applyProtection="0"/>
    <xf numFmtId="199" fontId="214" fillId="0" borderId="0" applyFont="0" applyFill="0" applyBorder="0" applyAlignment="0" applyProtection="0"/>
    <xf numFmtId="287" fontId="214" fillId="0" borderId="0" applyFont="0" applyFill="0" applyBorder="0" applyAlignment="0" applyProtection="0"/>
    <xf numFmtId="287" fontId="214" fillId="0" borderId="0" applyFont="0" applyFill="0" applyBorder="0" applyAlignment="0" applyProtection="0"/>
    <xf numFmtId="41" fontId="214" fillId="0" borderId="0" applyFont="0" applyFill="0" applyBorder="0" applyAlignment="0" applyProtection="0"/>
    <xf numFmtId="168" fontId="214" fillId="0" borderId="0" applyFont="0" applyFill="0" applyBorder="0" applyAlignment="0" applyProtection="0"/>
    <xf numFmtId="199" fontId="214" fillId="0" borderId="0" applyFont="0" applyFill="0" applyBorder="0" applyAlignment="0" applyProtection="0"/>
    <xf numFmtId="287" fontId="214" fillId="0" borderId="0" applyFont="0" applyFill="0" applyBorder="0" applyAlignment="0" applyProtection="0"/>
    <xf numFmtId="168" fontId="214" fillId="0" borderId="0" applyFont="0" applyFill="0" applyBorder="0" applyAlignment="0" applyProtection="0"/>
    <xf numFmtId="287" fontId="214" fillId="0" borderId="0" applyFont="0" applyFill="0" applyBorder="0" applyAlignment="0" applyProtection="0"/>
    <xf numFmtId="168" fontId="214" fillId="0" borderId="0" applyFont="0" applyFill="0" applyBorder="0" applyAlignment="0" applyProtection="0"/>
    <xf numFmtId="41" fontId="214" fillId="0" borderId="0" applyFont="0" applyFill="0" applyBorder="0" applyAlignment="0" applyProtection="0"/>
    <xf numFmtId="199" fontId="214" fillId="0" borderId="0" applyFont="0" applyFill="0" applyBorder="0" applyAlignment="0" applyProtection="0"/>
    <xf numFmtId="168" fontId="214" fillId="0" borderId="0" applyFont="0" applyFill="0" applyBorder="0" applyAlignment="0" applyProtection="0"/>
    <xf numFmtId="294" fontId="214" fillId="0" borderId="0" applyFont="0" applyFill="0" applyBorder="0" applyAlignment="0" applyProtection="0"/>
    <xf numFmtId="295" fontId="214" fillId="0" borderId="0" applyFont="0" applyFill="0" applyBorder="0" applyAlignment="0" applyProtection="0"/>
    <xf numFmtId="168" fontId="214" fillId="0" borderId="0" applyFont="0" applyFill="0" applyBorder="0" applyAlignment="0" applyProtection="0"/>
    <xf numFmtId="167" fontId="214" fillId="0" borderId="0" applyFont="0" applyFill="0" applyBorder="0" applyAlignment="0" applyProtection="0"/>
    <xf numFmtId="167" fontId="214" fillId="0" borderId="0" applyFont="0" applyFill="0" applyBorder="0" applyAlignment="0" applyProtection="0"/>
    <xf numFmtId="291" fontId="214" fillId="0" borderId="0" applyFont="0" applyFill="0" applyBorder="0" applyAlignment="0" applyProtection="0"/>
    <xf numFmtId="292" fontId="214" fillId="0" borderId="0" applyFont="0" applyFill="0" applyBorder="0" applyAlignment="0" applyProtection="0"/>
    <xf numFmtId="291" fontId="324" fillId="0" borderId="0" applyFont="0" applyFill="0" applyBorder="0" applyAlignment="0" applyProtection="0"/>
    <xf numFmtId="41" fontId="214" fillId="0" borderId="0" applyFont="0" applyFill="0" applyBorder="0" applyAlignment="0" applyProtection="0"/>
    <xf numFmtId="292" fontId="214" fillId="0" borderId="0" applyFont="0" applyFill="0" applyBorder="0" applyAlignment="0" applyProtection="0"/>
    <xf numFmtId="291" fontId="214" fillId="0" borderId="0" applyFont="0" applyFill="0" applyBorder="0" applyAlignment="0" applyProtection="0"/>
    <xf numFmtId="293" fontId="214" fillId="0" borderId="0" applyFont="0" applyFill="0" applyBorder="0" applyAlignment="0" applyProtection="0"/>
    <xf numFmtId="0" fontId="230" fillId="0" borderId="0"/>
    <xf numFmtId="315" fontId="179" fillId="0" borderId="0" applyFont="0" applyFill="0" applyBorder="0" applyAlignment="0" applyProtection="0"/>
    <xf numFmtId="286" fontId="214" fillId="0" borderId="0" applyFont="0" applyFill="0" applyBorder="0" applyAlignment="0" applyProtection="0"/>
    <xf numFmtId="168" fontId="214" fillId="0" borderId="0" applyFont="0" applyFill="0" applyBorder="0" applyAlignment="0" applyProtection="0"/>
    <xf numFmtId="168" fontId="214" fillId="0" borderId="0" applyFont="0" applyFill="0" applyBorder="0" applyAlignment="0" applyProtection="0"/>
    <xf numFmtId="14" fontId="350" fillId="0" borderId="0"/>
    <xf numFmtId="0" fontId="288" fillId="0" borderId="0"/>
    <xf numFmtId="205" fontId="230" fillId="0" borderId="31" applyNumberFormat="0" applyBorder="0">
      <alignment horizontal="center"/>
    </xf>
    <xf numFmtId="0" fontId="207" fillId="0" borderId="0"/>
    <xf numFmtId="40" fontId="213" fillId="0" borderId="0" applyBorder="0">
      <alignment horizontal="right"/>
    </xf>
    <xf numFmtId="40" fontId="318" fillId="0" borderId="0" applyBorder="0">
      <alignment horizontal="right"/>
    </xf>
    <xf numFmtId="0" fontId="351" fillId="0" borderId="0"/>
    <xf numFmtId="244" fontId="11" fillId="0" borderId="22">
      <alignment horizontal="right" vertical="center"/>
    </xf>
    <xf numFmtId="316" fontId="81" fillId="0" borderId="22">
      <alignment horizontal="right" vertical="center"/>
    </xf>
    <xf numFmtId="316" fontId="81" fillId="0" borderId="22">
      <alignment horizontal="right" vertical="center"/>
    </xf>
    <xf numFmtId="316" fontId="81" fillId="0" borderId="22">
      <alignment horizontal="right" vertical="center"/>
    </xf>
    <xf numFmtId="277" fontId="11" fillId="0" borderId="22">
      <alignment horizontal="right" vertical="center"/>
    </xf>
    <xf numFmtId="332" fontId="179" fillId="0" borderId="22">
      <alignment horizontal="right" vertical="center"/>
    </xf>
    <xf numFmtId="332" fontId="179" fillId="0" borderId="22">
      <alignment horizontal="right" vertical="center"/>
    </xf>
    <xf numFmtId="332" fontId="179"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77" fontId="11" fillId="0" borderId="22">
      <alignment horizontal="right" vertical="center"/>
    </xf>
    <xf numFmtId="277" fontId="11" fillId="0" borderId="22">
      <alignment horizontal="right" vertical="center"/>
    </xf>
    <xf numFmtId="277" fontId="11" fillId="0" borderId="22">
      <alignment horizontal="right" vertical="center"/>
    </xf>
    <xf numFmtId="277" fontId="11" fillId="0" borderId="22">
      <alignment horizontal="right" vertical="center"/>
    </xf>
    <xf numFmtId="277" fontId="11" fillId="0" borderId="22">
      <alignment horizontal="right" vertical="center"/>
    </xf>
    <xf numFmtId="277" fontId="11" fillId="0" borderId="22">
      <alignment horizontal="right" vertical="center"/>
    </xf>
    <xf numFmtId="277" fontId="11" fillId="0" borderId="22">
      <alignment horizontal="right" vertical="center"/>
    </xf>
    <xf numFmtId="277" fontId="11" fillId="0" borderId="22">
      <alignment horizontal="right" vertical="center"/>
    </xf>
    <xf numFmtId="235" fontId="179" fillId="0" borderId="22">
      <alignment horizontal="right" vertical="center"/>
    </xf>
    <xf numFmtId="260" fontId="81" fillId="0" borderId="22">
      <alignment horizontal="right" vertical="center"/>
    </xf>
    <xf numFmtId="260" fontId="81" fillId="0" borderId="22">
      <alignment horizontal="right" vertical="center"/>
    </xf>
    <xf numFmtId="235" fontId="179" fillId="0" borderId="22">
      <alignment horizontal="right" vertical="center"/>
    </xf>
    <xf numFmtId="260" fontId="81" fillId="0" borderId="22">
      <alignment horizontal="right" vertical="center"/>
    </xf>
    <xf numFmtId="260" fontId="81" fillId="0" borderId="22">
      <alignment horizontal="right" vertical="center"/>
    </xf>
    <xf numFmtId="277" fontId="11" fillId="0" borderId="22">
      <alignment horizontal="right" vertical="center"/>
    </xf>
    <xf numFmtId="277" fontId="11" fillId="0" borderId="22">
      <alignment horizontal="right" vertical="center"/>
    </xf>
    <xf numFmtId="260" fontId="81"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44" fontId="11" fillId="0" borderId="22">
      <alignment horizontal="right" vertical="center"/>
    </xf>
    <xf numFmtId="226" fontId="258"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26" fontId="258"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35" fontId="179" fillId="0" borderId="22">
      <alignment horizontal="right" vertical="center"/>
    </xf>
    <xf numFmtId="235" fontId="179" fillId="0" borderId="22">
      <alignment horizontal="right" vertical="center"/>
    </xf>
    <xf numFmtId="260" fontId="81" fillId="0" borderId="22">
      <alignment horizontal="right" vertical="center"/>
    </xf>
    <xf numFmtId="260" fontId="81" fillId="0" borderId="22">
      <alignment horizontal="right" vertical="center"/>
    </xf>
    <xf numFmtId="235" fontId="179" fillId="0" borderId="22">
      <alignment horizontal="right" vertical="center"/>
    </xf>
    <xf numFmtId="260" fontId="81" fillId="0" borderId="22">
      <alignment horizontal="right" vertical="center"/>
    </xf>
    <xf numFmtId="260" fontId="81" fillId="0" borderId="22">
      <alignment horizontal="right" vertical="center"/>
    </xf>
    <xf numFmtId="244" fontId="11"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77" fontId="11" fillId="0" borderId="22">
      <alignment horizontal="right" vertical="center"/>
    </xf>
    <xf numFmtId="235" fontId="179" fillId="0" borderId="22">
      <alignment horizontal="right" vertical="center"/>
    </xf>
    <xf numFmtId="204" fontId="65" fillId="0" borderId="22">
      <alignment horizontal="right" vertical="center"/>
    </xf>
    <xf numFmtId="204" fontId="65" fillId="0" borderId="22">
      <alignment horizontal="right" vertical="center"/>
    </xf>
    <xf numFmtId="260" fontId="81" fillId="0" borderId="22">
      <alignment horizontal="right" vertical="center"/>
    </xf>
    <xf numFmtId="245" fontId="214"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70" fontId="11" fillId="0" borderId="22">
      <alignment horizontal="right" vertical="center"/>
    </xf>
    <xf numFmtId="270" fontId="11" fillId="0" borderId="22">
      <alignment horizontal="right" vertical="center"/>
    </xf>
    <xf numFmtId="317" fontId="65" fillId="0" borderId="22">
      <alignment horizontal="right" vertical="center"/>
    </xf>
    <xf numFmtId="317" fontId="280" fillId="0" borderId="22">
      <alignment horizontal="right" vertical="center"/>
    </xf>
    <xf numFmtId="270" fontId="11" fillId="0" borderId="22">
      <alignment horizontal="right" vertical="center"/>
    </xf>
    <xf numFmtId="270" fontId="11" fillId="0" borderId="22">
      <alignment horizontal="right" vertical="center"/>
    </xf>
    <xf numFmtId="259" fontId="260" fillId="0" borderId="22">
      <alignment horizontal="right" vertical="center"/>
    </xf>
    <xf numFmtId="244" fontId="11" fillId="0" borderId="22">
      <alignment horizontal="right" vertical="center"/>
    </xf>
    <xf numFmtId="244" fontId="11" fillId="0" borderId="22">
      <alignment horizontal="right" vertical="center"/>
    </xf>
    <xf numFmtId="260" fontId="81" fillId="0" borderId="22">
      <alignment horizontal="right" vertical="center"/>
    </xf>
    <xf numFmtId="235" fontId="179" fillId="0" borderId="22">
      <alignment horizontal="right" vertical="center"/>
    </xf>
    <xf numFmtId="235" fontId="179" fillId="0" borderId="22">
      <alignment horizontal="right" vertical="center"/>
    </xf>
    <xf numFmtId="260" fontId="81" fillId="0" borderId="22">
      <alignment horizontal="right" vertical="center"/>
    </xf>
    <xf numFmtId="244" fontId="11" fillId="0" borderId="22">
      <alignment horizontal="right" vertical="center"/>
    </xf>
    <xf numFmtId="244" fontId="11" fillId="0" borderId="22">
      <alignment horizontal="right" vertical="center"/>
    </xf>
    <xf numFmtId="244" fontId="11" fillId="0" borderId="22">
      <alignment horizontal="right" vertical="center"/>
    </xf>
    <xf numFmtId="244" fontId="11" fillId="0" borderId="22">
      <alignment horizontal="right" vertical="center"/>
    </xf>
    <xf numFmtId="244" fontId="11" fillId="0" borderId="22">
      <alignment horizontal="right" vertical="center"/>
    </xf>
    <xf numFmtId="244" fontId="11" fillId="0" borderId="22">
      <alignment horizontal="right" vertical="center"/>
    </xf>
    <xf numFmtId="244" fontId="1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59" fontId="260" fillId="0" borderId="22">
      <alignment horizontal="right" vertical="center"/>
    </xf>
    <xf numFmtId="259" fontId="260" fillId="0" borderId="22">
      <alignment horizontal="right" vertical="center"/>
    </xf>
    <xf numFmtId="281" fontId="11"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81" fontId="11" fillId="0" borderId="22">
      <alignment horizontal="right" vertical="center"/>
    </xf>
    <xf numFmtId="281" fontId="11" fillId="0" borderId="22">
      <alignment horizontal="right" vertical="center"/>
    </xf>
    <xf numFmtId="281" fontId="11" fillId="0" borderId="22">
      <alignment horizontal="right" vertical="center"/>
    </xf>
    <xf numFmtId="281" fontId="11" fillId="0" borderId="22">
      <alignment horizontal="right" vertical="center"/>
    </xf>
    <xf numFmtId="281" fontId="11" fillId="0" borderId="22">
      <alignment horizontal="right" vertical="center"/>
    </xf>
    <xf numFmtId="281" fontId="11" fillId="0" borderId="22">
      <alignment horizontal="right" vertical="center"/>
    </xf>
    <xf numFmtId="259" fontId="260" fillId="0" borderId="22">
      <alignment horizontal="right" vertical="center"/>
    </xf>
    <xf numFmtId="245" fontId="214" fillId="0" borderId="22">
      <alignment horizontal="right" vertical="center"/>
    </xf>
    <xf numFmtId="245" fontId="214" fillId="0" borderId="22">
      <alignment horizontal="right" vertical="center"/>
    </xf>
    <xf numFmtId="245" fontId="214" fillId="0" borderId="22">
      <alignment horizontal="right" vertical="center"/>
    </xf>
    <xf numFmtId="245" fontId="214" fillId="0" borderId="22">
      <alignment horizontal="right" vertical="center"/>
    </xf>
    <xf numFmtId="245" fontId="214" fillId="0" borderId="22">
      <alignment horizontal="right" vertical="center"/>
    </xf>
    <xf numFmtId="245" fontId="214"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60" fontId="81" fillId="0" borderId="22">
      <alignment horizontal="right" vertical="center"/>
    </xf>
    <xf numFmtId="260" fontId="81" fillId="0" borderId="22">
      <alignment horizontal="right" vertical="center"/>
    </xf>
    <xf numFmtId="235" fontId="179" fillId="0" borderId="22">
      <alignment horizontal="right" vertical="center"/>
    </xf>
    <xf numFmtId="235" fontId="179" fillId="0" borderId="22">
      <alignment horizontal="right" vertical="center"/>
    </xf>
    <xf numFmtId="245" fontId="214" fillId="0" borderId="22">
      <alignment horizontal="right" vertical="center"/>
    </xf>
    <xf numFmtId="235" fontId="179" fillId="0" borderId="22">
      <alignment horizontal="right" vertical="center"/>
    </xf>
    <xf numFmtId="260" fontId="81"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318" fontId="65" fillId="0" borderId="22">
      <alignment horizontal="right" vertical="center"/>
    </xf>
    <xf numFmtId="318" fontId="280" fillId="0" borderId="22">
      <alignment horizontal="right" vertical="center"/>
    </xf>
    <xf numFmtId="245" fontId="214" fillId="0" borderId="22">
      <alignment horizontal="right" vertical="center"/>
    </xf>
    <xf numFmtId="245" fontId="214" fillId="0" borderId="22">
      <alignment horizontal="right" vertical="center"/>
    </xf>
    <xf numFmtId="259" fontId="260"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319" fontId="352" fillId="13" borderId="56" applyFont="0" applyFill="0" applyBorder="0"/>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319" fontId="352" fillId="13" borderId="56" applyFont="0" applyFill="0" applyBorder="0"/>
    <xf numFmtId="318" fontId="65" fillId="0" borderId="22">
      <alignment horizontal="right" vertical="center"/>
    </xf>
    <xf numFmtId="318" fontId="280"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70" fontId="11" fillId="0" borderId="22">
      <alignment horizontal="right" vertical="center"/>
    </xf>
    <xf numFmtId="270" fontId="11" fillId="0" borderId="22">
      <alignment horizontal="right" vertical="center"/>
    </xf>
    <xf numFmtId="318" fontId="65" fillId="0" borderId="22">
      <alignment horizontal="right" vertical="center"/>
    </xf>
    <xf numFmtId="318" fontId="280"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318" fontId="65" fillId="0" borderId="22">
      <alignment horizontal="right" vertical="center"/>
    </xf>
    <xf numFmtId="318" fontId="280" fillId="0" borderId="22">
      <alignment horizontal="right" vertical="center"/>
    </xf>
    <xf numFmtId="318" fontId="65" fillId="0" borderId="22">
      <alignment horizontal="right" vertical="center"/>
    </xf>
    <xf numFmtId="318" fontId="280" fillId="0" borderId="22">
      <alignment horizontal="right" vertical="center"/>
    </xf>
    <xf numFmtId="245" fontId="214" fillId="0" borderId="22">
      <alignment horizontal="right" vertical="center"/>
    </xf>
    <xf numFmtId="245" fontId="214" fillId="0" borderId="22">
      <alignment horizontal="right" vertical="center"/>
    </xf>
    <xf numFmtId="235" fontId="179" fillId="0" borderId="22">
      <alignment horizontal="right" vertical="center"/>
    </xf>
    <xf numFmtId="318" fontId="65" fillId="0" borderId="22">
      <alignment horizontal="right" vertical="center"/>
    </xf>
    <xf numFmtId="318" fontId="280" fillId="0" borderId="22">
      <alignment horizontal="right" vertical="center"/>
    </xf>
    <xf numFmtId="270" fontId="11" fillId="0" borderId="22">
      <alignment horizontal="right" vertical="center"/>
    </xf>
    <xf numFmtId="270" fontId="11" fillId="0" borderId="22">
      <alignment horizontal="right" vertical="center"/>
    </xf>
    <xf numFmtId="235" fontId="179" fillId="0" borderId="22">
      <alignment horizontal="right" vertical="center"/>
    </xf>
    <xf numFmtId="244" fontId="11" fillId="0" borderId="22">
      <alignment horizontal="right" vertical="center"/>
    </xf>
    <xf numFmtId="244" fontId="11" fillId="0" borderId="22">
      <alignment horizontal="right" vertical="center"/>
    </xf>
    <xf numFmtId="277" fontId="11" fillId="0" borderId="22">
      <alignment horizontal="right" vertical="center"/>
    </xf>
    <xf numFmtId="277" fontId="11" fillId="0" borderId="22">
      <alignment horizontal="right" vertical="center"/>
    </xf>
    <xf numFmtId="277" fontId="1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06" fontId="11" fillId="0" borderId="22">
      <alignment horizontal="right" vertical="center"/>
    </xf>
    <xf numFmtId="206" fontId="1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35" fontId="179" fillId="0" borderId="22">
      <alignment horizontal="right" vertical="center"/>
    </xf>
    <xf numFmtId="248" fontId="11" fillId="0" borderId="22">
      <alignment horizontal="right" vertical="center"/>
    </xf>
    <xf numFmtId="248" fontId="1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35" fontId="179" fillId="0" borderId="22">
      <alignment horizontal="right" vertical="center"/>
    </xf>
    <xf numFmtId="235" fontId="179"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77" fontId="11" fillId="0" borderId="22">
      <alignment horizontal="right" vertical="center"/>
    </xf>
    <xf numFmtId="245" fontId="214" fillId="0" borderId="22">
      <alignment horizontal="right" vertical="center"/>
    </xf>
    <xf numFmtId="330" fontId="179" fillId="0" borderId="22">
      <alignment horizontal="right" vertical="center"/>
    </xf>
    <xf numFmtId="330" fontId="179" fillId="0" borderId="22">
      <alignment horizontal="right" vertical="center"/>
    </xf>
    <xf numFmtId="330" fontId="179" fillId="0" borderId="22">
      <alignment horizontal="right" vertical="center"/>
    </xf>
    <xf numFmtId="330" fontId="179" fillId="0" borderId="22">
      <alignment horizontal="right" vertical="center"/>
    </xf>
    <xf numFmtId="330" fontId="179" fillId="0" borderId="22">
      <alignment horizontal="right" vertical="center"/>
    </xf>
    <xf numFmtId="330" fontId="179" fillId="0" borderId="22">
      <alignment horizontal="right" vertical="center"/>
    </xf>
    <xf numFmtId="330" fontId="179" fillId="0" borderId="22">
      <alignment horizontal="right" vertical="center"/>
    </xf>
    <xf numFmtId="330" fontId="179" fillId="0" borderId="22">
      <alignment horizontal="right" vertical="center"/>
    </xf>
    <xf numFmtId="330" fontId="179" fillId="0" borderId="22">
      <alignment horizontal="right" vertical="center"/>
    </xf>
    <xf numFmtId="235" fontId="179" fillId="0" borderId="22">
      <alignment horizontal="right" vertical="center"/>
    </xf>
    <xf numFmtId="235" fontId="179" fillId="0" borderId="22">
      <alignment horizontal="right" vertical="center"/>
    </xf>
    <xf numFmtId="316" fontId="81" fillId="0" borderId="22">
      <alignment horizontal="right" vertical="center"/>
    </xf>
    <xf numFmtId="316" fontId="81" fillId="0" borderId="22">
      <alignment horizontal="right" vertical="center"/>
    </xf>
    <xf numFmtId="316" fontId="81" fillId="0" borderId="22">
      <alignment horizontal="right" vertical="center"/>
    </xf>
    <xf numFmtId="316" fontId="81" fillId="0" borderId="22">
      <alignment horizontal="right" vertical="center"/>
    </xf>
    <xf numFmtId="235" fontId="179" fillId="0" borderId="22">
      <alignment horizontal="right" vertical="center"/>
    </xf>
    <xf numFmtId="235" fontId="179" fillId="0" borderId="22">
      <alignment horizontal="right" vertical="center"/>
    </xf>
    <xf numFmtId="245" fontId="214" fillId="0" borderId="22">
      <alignment horizontal="right" vertical="center"/>
    </xf>
    <xf numFmtId="260" fontId="81" fillId="0" borderId="22">
      <alignment horizontal="right" vertical="center"/>
    </xf>
    <xf numFmtId="260" fontId="81" fillId="0" borderId="22">
      <alignment horizontal="right" vertical="center"/>
    </xf>
    <xf numFmtId="277" fontId="1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60" fontId="81" fillId="0" borderId="22">
      <alignment horizontal="right" vertical="center"/>
    </xf>
    <xf numFmtId="277" fontId="11" fillId="0" borderId="22">
      <alignment horizontal="right" vertical="center"/>
    </xf>
    <xf numFmtId="235" fontId="179" fillId="0" borderId="22">
      <alignment horizontal="right" vertical="center"/>
    </xf>
    <xf numFmtId="246" fontId="65" fillId="0" borderId="22">
      <alignment horizontal="right" vertical="center"/>
    </xf>
    <xf numFmtId="246" fontId="65" fillId="0" borderId="22">
      <alignment horizontal="right" vertical="center"/>
    </xf>
    <xf numFmtId="247" fontId="65" fillId="0" borderId="22">
      <alignment horizontal="right" vertical="center"/>
    </xf>
    <xf numFmtId="247" fontId="65" fillId="0" borderId="22">
      <alignment horizontal="right" vertical="center"/>
    </xf>
    <xf numFmtId="247" fontId="65" fillId="0" borderId="22">
      <alignment horizontal="right" vertical="center"/>
    </xf>
    <xf numFmtId="247" fontId="65" fillId="0" borderId="22">
      <alignment horizontal="right" vertical="center"/>
    </xf>
    <xf numFmtId="247" fontId="65" fillId="0" borderId="22">
      <alignment horizontal="right" vertical="center"/>
    </xf>
    <xf numFmtId="247" fontId="65" fillId="0" borderId="22">
      <alignment horizontal="right" vertical="center"/>
    </xf>
    <xf numFmtId="332" fontId="179" fillId="0" borderId="22">
      <alignment horizontal="right" vertical="center"/>
    </xf>
    <xf numFmtId="319" fontId="352" fillId="13" borderId="56" applyFont="0" applyFill="0" applyBorder="0"/>
    <xf numFmtId="277" fontId="11" fillId="0" borderId="22">
      <alignment horizontal="right" vertical="center"/>
    </xf>
    <xf numFmtId="277" fontId="11" fillId="0" borderId="22">
      <alignment horizontal="right" vertical="center"/>
    </xf>
    <xf numFmtId="235" fontId="179" fillId="0" borderId="22">
      <alignment horizontal="right" vertical="center"/>
    </xf>
    <xf numFmtId="235" fontId="179" fillId="0" borderId="22">
      <alignment horizontal="right" vertical="center"/>
    </xf>
    <xf numFmtId="245" fontId="214" fillId="0" borderId="22">
      <alignment horizontal="right" vertical="center"/>
    </xf>
    <xf numFmtId="226" fontId="258" fillId="0" borderId="22">
      <alignment horizontal="right" vertical="center"/>
    </xf>
    <xf numFmtId="226" fontId="258" fillId="0" borderId="22">
      <alignment horizontal="right" vertical="center"/>
    </xf>
    <xf numFmtId="330" fontId="179" fillId="0" borderId="22">
      <alignment horizontal="right" vertical="center"/>
    </xf>
    <xf numFmtId="330" fontId="179" fillId="0" borderId="22">
      <alignment horizontal="right" vertical="center"/>
    </xf>
    <xf numFmtId="330" fontId="179" fillId="0" borderId="22">
      <alignment horizontal="right" vertical="center"/>
    </xf>
    <xf numFmtId="330" fontId="179" fillId="0" borderId="22">
      <alignment horizontal="right" vertical="center"/>
    </xf>
    <xf numFmtId="330" fontId="179" fillId="0" borderId="22">
      <alignment horizontal="right" vertical="center"/>
    </xf>
    <xf numFmtId="330" fontId="179" fillId="0" borderId="22">
      <alignment horizontal="right" vertical="center"/>
    </xf>
    <xf numFmtId="330" fontId="179" fillId="0" borderId="22">
      <alignment horizontal="right" vertical="center"/>
    </xf>
    <xf numFmtId="330" fontId="179" fillId="0" borderId="22">
      <alignment horizontal="right" vertical="center"/>
    </xf>
    <xf numFmtId="330" fontId="179" fillId="0" borderId="22">
      <alignment horizontal="right" vertical="center"/>
    </xf>
    <xf numFmtId="331" fontId="179" fillId="0" borderId="22">
      <alignment horizontal="right" vertical="center"/>
    </xf>
    <xf numFmtId="331" fontId="179" fillId="0" borderId="22">
      <alignment horizontal="right" vertical="center"/>
    </xf>
    <xf numFmtId="331" fontId="179" fillId="0" borderId="22">
      <alignment horizontal="right" vertical="center"/>
    </xf>
    <xf numFmtId="331" fontId="179" fillId="0" borderId="22">
      <alignment horizontal="right" vertical="center"/>
    </xf>
    <xf numFmtId="331" fontId="179" fillId="0" borderId="22">
      <alignment horizontal="right" vertical="center"/>
    </xf>
    <xf numFmtId="331" fontId="179" fillId="0" borderId="22">
      <alignment horizontal="right" vertical="center"/>
    </xf>
    <xf numFmtId="331" fontId="179" fillId="0" borderId="22">
      <alignment horizontal="right" vertical="center"/>
    </xf>
    <xf numFmtId="331" fontId="179" fillId="0" borderId="22">
      <alignment horizontal="right" vertical="center"/>
    </xf>
    <xf numFmtId="331" fontId="179" fillId="0" borderId="22">
      <alignment horizontal="right" vertical="center"/>
    </xf>
    <xf numFmtId="245" fontId="214" fillId="0" borderId="22">
      <alignment horizontal="right" vertical="center"/>
    </xf>
    <xf numFmtId="235" fontId="179" fillId="0" borderId="22">
      <alignment horizontal="right" vertical="center"/>
    </xf>
    <xf numFmtId="235" fontId="179" fillId="0" borderId="22">
      <alignment horizontal="right" vertical="center"/>
    </xf>
    <xf numFmtId="332" fontId="179" fillId="0" borderId="22">
      <alignment horizontal="right" vertical="center"/>
    </xf>
    <xf numFmtId="332" fontId="179" fillId="0" borderId="22">
      <alignment horizontal="right" vertical="center"/>
    </xf>
    <xf numFmtId="332" fontId="179" fillId="0" borderId="22">
      <alignment horizontal="right" vertical="center"/>
    </xf>
    <xf numFmtId="332" fontId="179" fillId="0" borderId="22">
      <alignment horizontal="right" vertical="center"/>
    </xf>
    <xf numFmtId="332" fontId="179" fillId="0" borderId="22">
      <alignment horizontal="right" vertical="center"/>
    </xf>
    <xf numFmtId="332" fontId="179" fillId="0" borderId="22">
      <alignment horizontal="right" vertical="center"/>
    </xf>
    <xf numFmtId="332" fontId="179" fillId="0" borderId="22">
      <alignment horizontal="right" vertical="center"/>
    </xf>
    <xf numFmtId="332" fontId="179" fillId="0" borderId="22">
      <alignment horizontal="right" vertical="center"/>
    </xf>
    <xf numFmtId="332" fontId="179" fillId="0" borderId="22">
      <alignment horizontal="right" vertical="center"/>
    </xf>
    <xf numFmtId="206" fontId="11" fillId="0" borderId="22">
      <alignment horizontal="right" vertical="center"/>
    </xf>
    <xf numFmtId="206" fontId="11" fillId="0" borderId="22">
      <alignment horizontal="right" vertical="center"/>
    </xf>
    <xf numFmtId="235" fontId="179" fillId="0" borderId="22">
      <alignment horizontal="right" vertical="center"/>
    </xf>
    <xf numFmtId="332" fontId="179" fillId="0" borderId="22">
      <alignment horizontal="right" vertical="center"/>
    </xf>
    <xf numFmtId="332" fontId="179" fillId="0" borderId="22">
      <alignment horizontal="right" vertical="center"/>
    </xf>
    <xf numFmtId="332" fontId="179" fillId="0" borderId="22">
      <alignment horizontal="right" vertical="center"/>
    </xf>
    <xf numFmtId="332" fontId="179" fillId="0" borderId="22">
      <alignment horizontal="right" vertical="center"/>
    </xf>
    <xf numFmtId="332" fontId="179" fillId="0" borderId="22">
      <alignment horizontal="right" vertical="center"/>
    </xf>
    <xf numFmtId="332" fontId="179" fillId="0" borderId="22">
      <alignment horizontal="right" vertical="center"/>
    </xf>
    <xf numFmtId="332" fontId="179" fillId="0" borderId="22">
      <alignment horizontal="right" vertical="center"/>
    </xf>
    <xf numFmtId="332" fontId="179" fillId="0" borderId="22">
      <alignment horizontal="right" vertical="center"/>
    </xf>
    <xf numFmtId="319" fontId="352" fillId="13" borderId="56" applyFont="0" applyFill="0" applyBorder="0"/>
    <xf numFmtId="332" fontId="179" fillId="0" borderId="22">
      <alignment horizontal="right" vertical="center"/>
    </xf>
    <xf numFmtId="332" fontId="179" fillId="0" borderId="22">
      <alignment horizontal="right" vertical="center"/>
    </xf>
    <xf numFmtId="332" fontId="179" fillId="0" borderId="22">
      <alignment horizontal="right" vertical="center"/>
    </xf>
    <xf numFmtId="332" fontId="179" fillId="0" borderId="22">
      <alignment horizontal="right" vertical="center"/>
    </xf>
    <xf numFmtId="332" fontId="179" fillId="0" borderId="22">
      <alignment horizontal="right" vertical="center"/>
    </xf>
    <xf numFmtId="332" fontId="179" fillId="0" borderId="22">
      <alignment horizontal="right" vertical="center"/>
    </xf>
    <xf numFmtId="332" fontId="179" fillId="0" borderId="22">
      <alignment horizontal="right" vertical="center"/>
    </xf>
    <xf numFmtId="332" fontId="179" fillId="0" borderId="22">
      <alignment horizontal="right" vertical="center"/>
    </xf>
    <xf numFmtId="226" fontId="258" fillId="0" borderId="22">
      <alignment horizontal="right" vertical="center"/>
    </xf>
    <xf numFmtId="235" fontId="179" fillId="0" borderId="22">
      <alignment horizontal="right" vertical="center"/>
    </xf>
    <xf numFmtId="320" fontId="353" fillId="0" borderId="22">
      <alignment horizontal="right" vertical="center"/>
    </xf>
    <xf numFmtId="320" fontId="353" fillId="0" borderId="22">
      <alignment horizontal="right" vertical="center"/>
    </xf>
    <xf numFmtId="235" fontId="179" fillId="0" borderId="22">
      <alignment horizontal="right" vertical="center"/>
    </xf>
    <xf numFmtId="235" fontId="179" fillId="0" borderId="22">
      <alignment horizontal="right" vertical="center"/>
    </xf>
    <xf numFmtId="245" fontId="214" fillId="0" borderId="22">
      <alignment horizontal="right" vertical="center"/>
    </xf>
    <xf numFmtId="245" fontId="214" fillId="0" borderId="22">
      <alignment horizontal="right" vertical="center"/>
    </xf>
    <xf numFmtId="235" fontId="179" fillId="0" borderId="22">
      <alignment horizontal="right" vertical="center"/>
    </xf>
    <xf numFmtId="235" fontId="179" fillId="0" borderId="22">
      <alignment horizontal="right" vertical="center"/>
    </xf>
    <xf numFmtId="208" fontId="180" fillId="0" borderId="0" applyNumberFormat="0"/>
    <xf numFmtId="232" fontId="239" fillId="0" borderId="31">
      <protection hidden="1"/>
    </xf>
    <xf numFmtId="49" fontId="182" fillId="0" borderId="0" applyFill="0" applyBorder="0" applyAlignment="0"/>
    <xf numFmtId="224" fontId="65" fillId="0" borderId="0" applyFill="0" applyBorder="0" applyAlignment="0"/>
    <xf numFmtId="248" fontId="65" fillId="0" borderId="0" applyFill="0" applyBorder="0" applyAlignment="0"/>
    <xf numFmtId="224" fontId="214" fillId="0" borderId="21">
      <alignment horizontal="left"/>
    </xf>
    <xf numFmtId="291" fontId="179" fillId="0" borderId="22">
      <alignment horizontal="center"/>
    </xf>
    <xf numFmtId="291" fontId="179" fillId="0" borderId="22">
      <alignment horizontal="center"/>
    </xf>
    <xf numFmtId="291" fontId="179" fillId="0" borderId="22">
      <alignment horizontal="center"/>
    </xf>
    <xf numFmtId="278" fontId="11" fillId="0" borderId="22">
      <alignment horizontal="center"/>
    </xf>
    <xf numFmtId="336" fontId="179" fillId="0" borderId="22">
      <alignment horizontal="center"/>
    </xf>
    <xf numFmtId="336" fontId="179" fillId="0" borderId="22">
      <alignment horizontal="center"/>
    </xf>
    <xf numFmtId="336" fontId="179" fillId="0" borderId="22">
      <alignment horizontal="center"/>
    </xf>
    <xf numFmtId="282" fontId="81" fillId="0" borderId="22">
      <alignment horizontal="center"/>
    </xf>
    <xf numFmtId="282" fontId="81" fillId="0" borderId="22">
      <alignment horizontal="center"/>
    </xf>
    <xf numFmtId="278" fontId="11" fillId="0" borderId="22">
      <alignment horizontal="center"/>
    </xf>
    <xf numFmtId="321" fontId="355" fillId="0" borderId="0" applyNumberFormat="0" applyFont="0" applyFill="0" applyBorder="0" applyAlignment="0">
      <alignment horizontal="centerContinuous"/>
    </xf>
    <xf numFmtId="0" fontId="259" fillId="0" borderId="57"/>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249" fillId="0" borderId="0" applyNumberFormat="0" applyFill="0" applyBorder="0" applyAlignment="0" applyProtection="0"/>
    <xf numFmtId="0" fontId="260" fillId="0" borderId="5" applyNumberFormat="0" applyBorder="0" applyAlignment="0"/>
    <xf numFmtId="0" fontId="261" fillId="0" borderId="4" applyNumberFormat="0" applyBorder="0" applyAlignment="0">
      <alignment horizontal="center"/>
    </xf>
    <xf numFmtId="3" fontId="356" fillId="0" borderId="7" applyNumberFormat="0" applyBorder="0" applyAlignment="0"/>
    <xf numFmtId="49" fontId="269" fillId="0" borderId="0">
      <alignment horizontal="justify" vertical="center" wrapText="1"/>
    </xf>
    <xf numFmtId="0" fontId="319" fillId="0" borderId="5">
      <alignment horizontal="center" vertical="center" wrapText="1"/>
    </xf>
    <xf numFmtId="0" fontId="304" fillId="0" borderId="0" applyNumberFormat="0" applyFill="0" applyBorder="0" applyAlignment="0" applyProtection="0"/>
    <xf numFmtId="0" fontId="354" fillId="0" borderId="0">
      <alignment horizontal="center"/>
    </xf>
    <xf numFmtId="40" fontId="55" fillId="0" borderId="0"/>
    <xf numFmtId="0" fontId="293" fillId="26" borderId="35" applyNumberFormat="0" applyAlignment="0" applyProtection="0"/>
    <xf numFmtId="0" fontId="266" fillId="0" borderId="5"/>
    <xf numFmtId="3" fontId="262" fillId="0" borderId="0" applyNumberFormat="0" applyFill="0" applyBorder="0" applyAlignment="0" applyProtection="0">
      <alignment horizontal="center" wrapText="1"/>
    </xf>
    <xf numFmtId="0" fontId="263" fillId="0" borderId="25" applyBorder="0" applyAlignment="0">
      <alignment horizontal="center" vertical="center"/>
    </xf>
    <xf numFmtId="0" fontId="264" fillId="0" borderId="0" applyNumberFormat="0" applyFill="0" applyBorder="0" applyAlignment="0" applyProtection="0">
      <alignment horizontal="centerContinuous"/>
    </xf>
    <xf numFmtId="0" fontId="243" fillId="0" borderId="58" applyNumberFormat="0" applyFill="0" applyBorder="0" applyAlignment="0" applyProtection="0">
      <alignment horizontal="center" vertical="center" wrapText="1"/>
    </xf>
    <xf numFmtId="0" fontId="304" fillId="0" borderId="0" applyNumberFormat="0" applyFill="0" applyBorder="0" applyAlignment="0" applyProtection="0"/>
    <xf numFmtId="0" fontId="304" fillId="0" borderId="0" applyNumberFormat="0" applyFill="0" applyBorder="0" applyAlignment="0" applyProtection="0"/>
    <xf numFmtId="0" fontId="365" fillId="0" borderId="0" applyNumberFormat="0" applyFill="0" applyBorder="0" applyAlignment="0" applyProtection="0"/>
    <xf numFmtId="0" fontId="304" fillId="0" borderId="0" applyNumberFormat="0" applyFill="0" applyBorder="0" applyAlignment="0" applyProtection="0"/>
    <xf numFmtId="0" fontId="305" fillId="0" borderId="59" applyNumberFormat="0" applyFill="0" applyAlignment="0" applyProtection="0"/>
    <xf numFmtId="3" fontId="320" fillId="0" borderId="9" applyNumberFormat="0" applyAlignment="0">
      <alignment horizontal="center" vertical="center"/>
    </xf>
    <xf numFmtId="3" fontId="321" fillId="0" borderId="5" applyNumberFormat="0" applyAlignment="0">
      <alignment horizontal="left" wrapText="1"/>
    </xf>
    <xf numFmtId="3" fontId="320" fillId="0" borderId="9" applyNumberFormat="0" applyAlignment="0">
      <alignment horizontal="center" vertical="center"/>
    </xf>
    <xf numFmtId="0" fontId="265" fillId="0" borderId="60" applyNumberFormat="0" applyBorder="0" applyAlignment="0">
      <alignment vertical="center"/>
    </xf>
    <xf numFmtId="0" fontId="305" fillId="0" borderId="59" applyNumberFormat="0" applyFill="0" applyAlignment="0" applyProtection="0"/>
    <xf numFmtId="0" fontId="305" fillId="0" borderId="61" applyNumberFormat="0" applyFill="0" applyAlignment="0" applyProtection="0"/>
    <xf numFmtId="0" fontId="164" fillId="0" borderId="62" applyProtection="0"/>
    <xf numFmtId="0" fontId="305" fillId="0" borderId="59" applyNumberFormat="0" applyFill="0" applyAlignment="0" applyProtection="0"/>
    <xf numFmtId="0" fontId="305" fillId="0" borderId="61" applyNumberFormat="0" applyFill="0" applyAlignment="0" applyProtection="0"/>
    <xf numFmtId="0" fontId="305" fillId="0" borderId="59" applyNumberFormat="0" applyFill="0" applyAlignment="0" applyProtection="0"/>
    <xf numFmtId="0" fontId="65" fillId="0" borderId="34" applyNumberFormat="0" applyFont="0" applyFill="0" applyAlignment="0" applyProtection="0"/>
    <xf numFmtId="0" fontId="289" fillId="0" borderId="63" applyNumberFormat="0" applyAlignment="0">
      <alignment horizontal="center"/>
    </xf>
    <xf numFmtId="0" fontId="266" fillId="0" borderId="64">
      <alignment horizontal="center"/>
    </xf>
    <xf numFmtId="0" fontId="65" fillId="0" borderId="0" applyFont="0" applyFill="0" applyBorder="0" applyAlignment="0" applyProtection="0"/>
    <xf numFmtId="0" fontId="65" fillId="0" borderId="0" applyFont="0" applyFill="0" applyBorder="0" applyAlignment="0" applyProtection="0"/>
    <xf numFmtId="309" fontId="187" fillId="0" borderId="0" applyFont="0" applyFill="0" applyBorder="0" applyAlignment="0" applyProtection="0"/>
    <xf numFmtId="0" fontId="65" fillId="0" borderId="0" applyFont="0" applyFill="0" applyBorder="0" applyAlignment="0" applyProtection="0"/>
    <xf numFmtId="0" fontId="65" fillId="0" borderId="0" applyFont="0" applyFill="0" applyBorder="0" applyAlignment="0" applyProtection="0"/>
    <xf numFmtId="0" fontId="306" fillId="0" borderId="0" applyNumberFormat="0" applyFill="0" applyBorder="0" applyAlignment="0" applyProtection="0"/>
    <xf numFmtId="0" fontId="22" fillId="0" borderId="50">
      <alignment horizontal="center"/>
    </xf>
    <xf numFmtId="205" fontId="214" fillId="0" borderId="0"/>
    <xf numFmtId="248" fontId="179" fillId="0" borderId="0"/>
    <xf numFmtId="248" fontId="179" fillId="0" borderId="0"/>
    <xf numFmtId="248" fontId="179" fillId="0" borderId="0"/>
    <xf numFmtId="322" fontId="11" fillId="0" borderId="0"/>
    <xf numFmtId="334" fontId="179" fillId="0" borderId="0"/>
    <xf numFmtId="334" fontId="179" fillId="0" borderId="0"/>
    <xf numFmtId="334" fontId="179" fillId="0" borderId="0"/>
    <xf numFmtId="283" fontId="81" fillId="0" borderId="0"/>
    <xf numFmtId="283" fontId="81" fillId="0" borderId="0"/>
    <xf numFmtId="334" fontId="179" fillId="0" borderId="0"/>
    <xf numFmtId="225" fontId="214" fillId="0" borderId="21"/>
    <xf numFmtId="323" fontId="81" fillId="0" borderId="21"/>
    <xf numFmtId="323" fontId="81" fillId="0" borderId="21"/>
    <xf numFmtId="323" fontId="81" fillId="0" borderId="21"/>
    <xf numFmtId="324" fontId="11" fillId="0" borderId="21"/>
    <xf numFmtId="337" fontId="179" fillId="0" borderId="21"/>
    <xf numFmtId="337" fontId="179" fillId="0" borderId="21"/>
    <xf numFmtId="337" fontId="179" fillId="0" borderId="21"/>
    <xf numFmtId="284" fontId="81" fillId="0" borderId="21"/>
    <xf numFmtId="284" fontId="81" fillId="0" borderId="21"/>
    <xf numFmtId="324" fontId="11" fillId="0" borderId="21"/>
    <xf numFmtId="0" fontId="209" fillId="0" borderId="0"/>
    <xf numFmtId="0" fontId="209" fillId="0" borderId="0"/>
    <xf numFmtId="0" fontId="209" fillId="0" borderId="0"/>
    <xf numFmtId="3" fontId="179" fillId="0" borderId="0" applyNumberFormat="0" applyBorder="0" applyAlignment="0" applyProtection="0">
      <alignment horizontal="centerContinuous"/>
      <protection locked="0"/>
    </xf>
    <xf numFmtId="3" fontId="267" fillId="0" borderId="0">
      <protection locked="0"/>
    </xf>
    <xf numFmtId="0" fontId="209" fillId="0" borderId="0"/>
    <xf numFmtId="0" fontId="209" fillId="0" borderId="0"/>
    <xf numFmtId="0" fontId="209" fillId="0" borderId="0"/>
    <xf numFmtId="164" fontId="268" fillId="55" borderId="25">
      <alignment vertical="top"/>
    </xf>
    <xf numFmtId="0" fontId="269" fillId="56" borderId="21">
      <alignment horizontal="left" vertical="center"/>
    </xf>
    <xf numFmtId="165" fontId="270" fillId="57" borderId="25"/>
    <xf numFmtId="164" fontId="245" fillId="0" borderId="25">
      <alignment horizontal="left" vertical="top"/>
    </xf>
    <xf numFmtId="0" fontId="271" fillId="58" borderId="0">
      <alignment horizontal="left" vertical="center"/>
    </xf>
    <xf numFmtId="0" fontId="272" fillId="0" borderId="0" applyNumberFormat="0" applyFill="0" applyBorder="0" applyAlignment="0" applyProtection="0"/>
    <xf numFmtId="164" fontId="230" fillId="0" borderId="9">
      <alignment horizontal="left" vertical="top"/>
    </xf>
    <xf numFmtId="0" fontId="273" fillId="0" borderId="9">
      <alignment horizontal="left" vertical="center"/>
    </xf>
    <xf numFmtId="0" fontId="65" fillId="0" borderId="0" applyFont="0" applyFill="0" applyBorder="0" applyAlignment="0" applyProtection="0"/>
    <xf numFmtId="0" fontId="65" fillId="0" borderId="0" applyFont="0" applyFill="0" applyBorder="0" applyAlignment="0" applyProtection="0"/>
    <xf numFmtId="167" fontId="34" fillId="0" borderId="0" applyFont="0" applyFill="0" applyBorder="0" applyAlignment="0" applyProtection="0"/>
    <xf numFmtId="325" fontId="65" fillId="0" borderId="0" applyFont="0" applyFill="0" applyBorder="0" applyAlignment="0" applyProtection="0"/>
    <xf numFmtId="167" fontId="241" fillId="0" borderId="0" applyFont="0" applyFill="0" applyBorder="0" applyAlignment="0" applyProtection="0"/>
    <xf numFmtId="169" fontId="241" fillId="0" borderId="0" applyFont="0" applyFill="0" applyBorder="0" applyAlignment="0" applyProtection="0"/>
    <xf numFmtId="0" fontId="306" fillId="0" borderId="0" applyNumberFormat="0" applyFill="0" applyBorder="0" applyAlignment="0" applyProtection="0"/>
    <xf numFmtId="0" fontId="306" fillId="0" borderId="0" applyNumberFormat="0" applyFill="0" applyBorder="0" applyAlignment="0" applyProtection="0"/>
    <xf numFmtId="0" fontId="306" fillId="0" borderId="0" applyNumberFormat="0" applyFill="0" applyBorder="0" applyAlignment="0" applyProtection="0"/>
    <xf numFmtId="0" fontId="322" fillId="0" borderId="0" applyNumberFormat="0" applyFont="0" applyFill="0" applyBorder="0" applyProtection="0">
      <alignment horizontal="center" vertical="center" wrapText="1"/>
    </xf>
    <xf numFmtId="0" fontId="65" fillId="0" borderId="0" applyFont="0" applyFill="0" applyBorder="0" applyAlignment="0" applyProtection="0"/>
    <xf numFmtId="0" fontId="65" fillId="0" borderId="0" applyFont="0" applyFill="0" applyBorder="0" applyAlignment="0" applyProtection="0"/>
    <xf numFmtId="0" fontId="274" fillId="0" borderId="65" applyNumberFormat="0" applyFont="0" applyAlignment="0">
      <alignment horizontal="center"/>
    </xf>
    <xf numFmtId="0" fontId="275" fillId="0" borderId="0" applyNumberFormat="0" applyFill="0" applyBorder="0" applyAlignment="0" applyProtection="0"/>
    <xf numFmtId="0" fontId="81" fillId="0" borderId="66" applyFont="0" applyBorder="0" applyAlignment="0">
      <alignment horizontal="center"/>
    </xf>
    <xf numFmtId="199" fontId="11" fillId="0" borderId="0" applyFont="0" applyFill="0" applyBorder="0" applyAlignment="0" applyProtection="0"/>
    <xf numFmtId="167" fontId="357" fillId="0" borderId="0" applyFont="0" applyFill="0" applyBorder="0" applyAlignment="0" applyProtection="0"/>
    <xf numFmtId="169" fontId="357" fillId="0" borderId="0" applyFont="0" applyFill="0" applyBorder="0" applyAlignment="0" applyProtection="0"/>
    <xf numFmtId="0" fontId="357" fillId="0" borderId="0"/>
    <xf numFmtId="0" fontId="217" fillId="0" borderId="0" applyFont="0" applyFill="0" applyBorder="0" applyAlignment="0" applyProtection="0"/>
    <xf numFmtId="0" fontId="217" fillId="0" borderId="0" applyFont="0" applyFill="0" applyBorder="0" applyAlignment="0" applyProtection="0"/>
    <xf numFmtId="0" fontId="7" fillId="0" borderId="0">
      <alignment vertical="center"/>
    </xf>
    <xf numFmtId="40" fontId="176" fillId="0" borderId="0" applyFont="0" applyFill="0" applyBorder="0" applyAlignment="0" applyProtection="0"/>
    <xf numFmtId="38" fontId="176" fillId="0" borderId="0" applyFont="0" applyFill="0" applyBorder="0" applyAlignment="0" applyProtection="0"/>
    <xf numFmtId="0" fontId="176" fillId="0" borderId="0" applyFont="0" applyFill="0" applyBorder="0" applyAlignment="0" applyProtection="0"/>
    <xf numFmtId="0" fontId="176" fillId="0" borderId="0" applyFont="0" applyFill="0" applyBorder="0" applyAlignment="0" applyProtection="0"/>
    <xf numFmtId="9" fontId="323" fillId="0" borderId="0" applyBorder="0" applyAlignment="0" applyProtection="0"/>
    <xf numFmtId="0" fontId="177" fillId="0" borderId="0"/>
    <xf numFmtId="0" fontId="276" fillId="0" borderId="33"/>
    <xf numFmtId="212" fontId="220" fillId="0" borderId="0" applyFont="0" applyFill="0" applyBorder="0" applyAlignment="0" applyProtection="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48" fillId="0" borderId="0" applyFont="0" applyFill="0" applyBorder="0" applyAlignment="0" applyProtection="0"/>
    <xf numFmtId="0" fontId="248" fillId="0" borderId="0" applyFont="0" applyFill="0" applyBorder="0" applyAlignment="0" applyProtection="0"/>
    <xf numFmtId="201" fontId="65" fillId="0" borderId="0" applyFont="0" applyFill="0" applyBorder="0" applyAlignment="0" applyProtection="0"/>
    <xf numFmtId="202" fontId="65" fillId="0" borderId="0" applyFont="0" applyFill="0" applyBorder="0" applyAlignment="0" applyProtection="0"/>
    <xf numFmtId="0" fontId="248" fillId="0" borderId="0"/>
    <xf numFmtId="0" fontId="248" fillId="0" borderId="0"/>
    <xf numFmtId="0" fontId="278" fillId="0" borderId="0"/>
    <xf numFmtId="0" fontId="164" fillId="0" borderId="0"/>
    <xf numFmtId="199" fontId="215" fillId="0" borderId="0" applyFont="0" applyFill="0" applyBorder="0" applyAlignment="0" applyProtection="0"/>
    <xf numFmtId="200" fontId="215" fillId="0" borderId="0" applyFont="0" applyFill="0" applyBorder="0" applyAlignment="0" applyProtection="0"/>
    <xf numFmtId="0" fontId="65" fillId="0" borderId="0"/>
    <xf numFmtId="170" fontId="65" fillId="0" borderId="0" applyFont="0" applyFill="0" applyBorder="0" applyAlignment="0" applyProtection="0"/>
    <xf numFmtId="168" fontId="65" fillId="0" borderId="0" applyFont="0" applyFill="0" applyBorder="0" applyAlignment="0" applyProtection="0"/>
    <xf numFmtId="0" fontId="65" fillId="0" borderId="0"/>
    <xf numFmtId="201" fontId="215" fillId="0" borderId="0" applyFont="0" applyFill="0" applyBorder="0" applyAlignment="0" applyProtection="0"/>
    <xf numFmtId="165" fontId="216" fillId="0" borderId="0" applyFont="0" applyFill="0" applyBorder="0" applyAlignment="0" applyProtection="0"/>
    <xf numFmtId="202" fontId="215" fillId="0" borderId="0" applyFont="0" applyFill="0" applyBorder="0" applyAlignment="0" applyProtection="0"/>
    <xf numFmtId="169" fontId="65" fillId="0" borderId="0" applyFont="0" applyFill="0" applyBorder="0" applyAlignment="0" applyProtection="0"/>
    <xf numFmtId="167" fontId="65" fillId="0" borderId="0" applyFont="0" applyFill="0" applyBorder="0" applyAlignment="0" applyProtection="0"/>
    <xf numFmtId="0" fontId="375" fillId="0" borderId="0"/>
    <xf numFmtId="170" fontId="7" fillId="0" borderId="0" applyFont="0" applyFill="0" applyBorder="0" applyAlignment="0" applyProtection="0"/>
  </cellStyleXfs>
  <cellXfs count="1879">
    <xf numFmtId="0" fontId="0" fillId="0" borderId="0" xfId="0"/>
    <xf numFmtId="0" fontId="3" fillId="0" borderId="3" xfId="0" applyFont="1" applyBorder="1" applyAlignment="1">
      <alignment horizontal="center" vertical="center" wrapText="1"/>
    </xf>
    <xf numFmtId="0" fontId="27" fillId="0" borderId="3" xfId="0" applyFont="1" applyBorder="1" applyAlignment="1">
      <alignment horizontal="center" vertical="center" wrapText="1"/>
    </xf>
    <xf numFmtId="0" fontId="26" fillId="0" borderId="3" xfId="0" applyFont="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7" fillId="0" borderId="0" xfId="0" applyFont="1" applyAlignment="1">
      <alignment vertical="center"/>
    </xf>
    <xf numFmtId="0" fontId="3" fillId="2" borderId="3" xfId="0" applyFont="1" applyFill="1" applyBorder="1" applyAlignment="1">
      <alignment horizontal="justify" vertical="center" wrapText="1"/>
    </xf>
    <xf numFmtId="0" fontId="27" fillId="2" borderId="3" xfId="0" applyFont="1" applyFill="1" applyBorder="1" applyAlignment="1">
      <alignment horizontal="justify" vertical="center" wrapText="1"/>
    </xf>
    <xf numFmtId="0" fontId="26" fillId="2" borderId="3" xfId="0" applyFont="1" applyFill="1" applyBorder="1" applyAlignment="1">
      <alignment horizontal="justify" vertical="center" wrapText="1"/>
    </xf>
    <xf numFmtId="0" fontId="8" fillId="0" borderId="3" xfId="10" applyFont="1" applyBorder="1" applyAlignment="1">
      <alignment horizontal="justify" vertical="center" wrapText="1"/>
    </xf>
    <xf numFmtId="0" fontId="26" fillId="0" borderId="3" xfId="0" applyFont="1" applyBorder="1" applyAlignment="1">
      <alignment horizontal="justify" vertical="center" wrapText="1"/>
    </xf>
    <xf numFmtId="0" fontId="27" fillId="0" borderId="3" xfId="0" applyFont="1" applyBorder="1" applyAlignment="1">
      <alignment horizontal="justify" vertical="center" wrapText="1"/>
    </xf>
    <xf numFmtId="0" fontId="9" fillId="0" borderId="3" xfId="0" applyFont="1" applyBorder="1" applyAlignment="1">
      <alignment horizontal="justify" vertical="center" wrapText="1"/>
    </xf>
    <xf numFmtId="0" fontId="28" fillId="0" borderId="3" xfId="0" applyFont="1" applyBorder="1" applyAlignment="1">
      <alignment horizontal="justify" vertical="center" wrapText="1"/>
    </xf>
    <xf numFmtId="0" fontId="26" fillId="0" borderId="3" xfId="0" quotePrefix="1" applyFont="1" applyBorder="1" applyAlignment="1">
      <alignment horizontal="justify" vertical="center" wrapText="1"/>
    </xf>
    <xf numFmtId="0" fontId="7" fillId="0" borderId="0" xfId="0" applyFont="1" applyAlignment="1">
      <alignment horizontal="justify" vertical="center"/>
    </xf>
    <xf numFmtId="0" fontId="0" fillId="0" borderId="0" xfId="0" applyAlignment="1">
      <alignment horizontal="justify" vertical="center"/>
    </xf>
    <xf numFmtId="0" fontId="3" fillId="0" borderId="3" xfId="10" applyFont="1" applyBorder="1" applyAlignment="1">
      <alignment horizontal="justify" vertical="center" wrapText="1"/>
    </xf>
    <xf numFmtId="0" fontId="26" fillId="2" borderId="3" xfId="0" applyFont="1" applyFill="1" applyBorder="1" applyAlignment="1">
      <alignment horizontal="center" vertical="center" wrapText="1"/>
    </xf>
    <xf numFmtId="0" fontId="26" fillId="0" borderId="3" xfId="0" quotePrefix="1" applyFont="1" applyBorder="1" applyAlignment="1">
      <alignment horizontal="center" vertical="center" wrapText="1"/>
    </xf>
    <xf numFmtId="0" fontId="29" fillId="0" borderId="0" xfId="0" applyFont="1"/>
    <xf numFmtId="0" fontId="33" fillId="0" borderId="0" xfId="0" applyFont="1"/>
    <xf numFmtId="0" fontId="33" fillId="0" borderId="5" xfId="0" applyFont="1" applyBorder="1"/>
    <xf numFmtId="0" fontId="40" fillId="0" borderId="0" xfId="0" applyFont="1"/>
    <xf numFmtId="0" fontId="51" fillId="0" borderId="0" xfId="0" applyFont="1"/>
    <xf numFmtId="170" fontId="51" fillId="4" borderId="0" xfId="2" applyFont="1" applyFill="1"/>
    <xf numFmtId="0" fontId="48" fillId="4" borderId="0" xfId="0" applyFont="1" applyFill="1"/>
    <xf numFmtId="0" fontId="46" fillId="4" borderId="0" xfId="0" applyFont="1" applyFill="1"/>
    <xf numFmtId="170" fontId="46" fillId="4" borderId="0" xfId="2" applyFont="1" applyFill="1"/>
    <xf numFmtId="178" fontId="46" fillId="4" borderId="0" xfId="2" applyNumberFormat="1" applyFont="1" applyFill="1"/>
    <xf numFmtId="0" fontId="44" fillId="4" borderId="0" xfId="0" applyFont="1" applyFill="1"/>
    <xf numFmtId="0" fontId="54" fillId="4" borderId="5" xfId="0" applyFont="1" applyFill="1" applyBorder="1" applyAlignment="1">
      <alignment horizontal="justify" wrapText="1"/>
    </xf>
    <xf numFmtId="0" fontId="51" fillId="4" borderId="0" xfId="0" applyFont="1" applyFill="1"/>
    <xf numFmtId="0" fontId="3" fillId="4" borderId="0" xfId="0" applyFont="1" applyFill="1"/>
    <xf numFmtId="0" fontId="23" fillId="4" borderId="3" xfId="0" applyFont="1" applyFill="1" applyBorder="1" applyAlignment="1">
      <alignment vertical="center" wrapText="1"/>
    </xf>
    <xf numFmtId="179" fontId="51" fillId="4" borderId="0" xfId="2" applyNumberFormat="1" applyFont="1" applyFill="1"/>
    <xf numFmtId="0" fontId="54" fillId="4" borderId="0" xfId="0" applyFont="1" applyFill="1"/>
    <xf numFmtId="0" fontId="23" fillId="4" borderId="5" xfId="0" applyFont="1" applyFill="1" applyBorder="1" applyAlignment="1">
      <alignment horizontal="center" vertical="center" wrapText="1"/>
    </xf>
    <xf numFmtId="0" fontId="55" fillId="4" borderId="0" xfId="0" applyFont="1" applyFill="1"/>
    <xf numFmtId="179" fontId="54" fillId="4" borderId="0" xfId="2" applyNumberFormat="1" applyFont="1" applyFill="1"/>
    <xf numFmtId="0" fontId="23" fillId="4" borderId="0" xfId="0" applyFont="1" applyFill="1"/>
    <xf numFmtId="0" fontId="23" fillId="4" borderId="5" xfId="0" applyFont="1" applyFill="1" applyBorder="1" applyAlignment="1">
      <alignment horizontal="center" wrapText="1"/>
    </xf>
    <xf numFmtId="0" fontId="54" fillId="4" borderId="5" xfId="0" applyFont="1" applyFill="1" applyBorder="1" applyAlignment="1">
      <alignment horizontal="center" wrapText="1"/>
    </xf>
    <xf numFmtId="0" fontId="51" fillId="0" borderId="0" xfId="0" applyFont="1" applyAlignment="1">
      <alignment horizontal="center" vertical="center" wrapText="1"/>
    </xf>
    <xf numFmtId="170" fontId="54" fillId="4" borderId="5" xfId="2" applyFont="1" applyFill="1" applyBorder="1" applyAlignment="1">
      <alignment horizontal="center" vertical="center" wrapText="1"/>
    </xf>
    <xf numFmtId="0" fontId="19" fillId="4" borderId="0" xfId="0" applyFont="1" applyFill="1"/>
    <xf numFmtId="0" fontId="33" fillId="0" borderId="6" xfId="0" applyFont="1" applyBorder="1"/>
    <xf numFmtId="0" fontId="33" fillId="0" borderId="3" xfId="0" applyFont="1" applyBorder="1" applyAlignment="1">
      <alignment horizontal="center" vertical="center" wrapText="1"/>
    </xf>
    <xf numFmtId="170" fontId="39" fillId="4" borderId="5" xfId="2" applyFont="1" applyFill="1" applyBorder="1" applyAlignment="1">
      <alignment horizontal="center" vertical="center" wrapText="1"/>
    </xf>
    <xf numFmtId="179" fontId="39" fillId="4" borderId="5" xfId="2" applyNumberFormat="1" applyFont="1" applyFill="1" applyBorder="1" applyAlignment="1">
      <alignment horizontal="center" vertical="center" wrapText="1"/>
    </xf>
    <xf numFmtId="179" fontId="51" fillId="4" borderId="0" xfId="0" applyNumberFormat="1" applyFont="1" applyFill="1"/>
    <xf numFmtId="179" fontId="52" fillId="4" borderId="0" xfId="2" applyNumberFormat="1" applyFont="1" applyFill="1"/>
    <xf numFmtId="0" fontId="52" fillId="4" borderId="0" xfId="0" applyFont="1" applyFill="1"/>
    <xf numFmtId="172" fontId="51" fillId="4" borderId="0" xfId="2" applyNumberFormat="1" applyFont="1" applyFill="1"/>
    <xf numFmtId="179" fontId="54" fillId="4" borderId="5" xfId="2" applyNumberFormat="1"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6" xfId="0" applyFont="1" applyFill="1" applyBorder="1" applyAlignment="1">
      <alignment vertical="center" wrapText="1"/>
    </xf>
    <xf numFmtId="179" fontId="46" fillId="4" borderId="0" xfId="2" applyNumberFormat="1" applyFont="1" applyFill="1"/>
    <xf numFmtId="172" fontId="3" fillId="4" borderId="3" xfId="2" applyNumberFormat="1" applyFont="1" applyFill="1" applyBorder="1" applyAlignment="1">
      <alignment horizontal="right" wrapText="1"/>
    </xf>
    <xf numFmtId="0" fontId="7" fillId="4" borderId="0" xfId="0" applyFont="1" applyFill="1"/>
    <xf numFmtId="172" fontId="3" fillId="4" borderId="3" xfId="2" applyNumberFormat="1" applyFont="1" applyFill="1" applyBorder="1" applyAlignment="1">
      <alignment horizontal="justify" wrapText="1"/>
    </xf>
    <xf numFmtId="170" fontId="56" fillId="4" borderId="3" xfId="2" applyFont="1" applyFill="1" applyBorder="1" applyAlignment="1">
      <alignment horizontal="center" vertical="center" wrapText="1"/>
    </xf>
    <xf numFmtId="178" fontId="51" fillId="4" borderId="0" xfId="2" applyNumberFormat="1" applyFont="1" applyFill="1"/>
    <xf numFmtId="0" fontId="4" fillId="4" borderId="0" xfId="0" applyFont="1" applyFill="1" applyAlignment="1">
      <alignment horizontal="right"/>
    </xf>
    <xf numFmtId="179" fontId="55" fillId="4" borderId="3" xfId="0" applyNumberFormat="1" applyFont="1" applyFill="1" applyBorder="1" applyAlignment="1">
      <alignment horizontal="center" vertical="center" wrapText="1"/>
    </xf>
    <xf numFmtId="178" fontId="54" fillId="4" borderId="0" xfId="2" applyNumberFormat="1" applyFont="1" applyFill="1"/>
    <xf numFmtId="0" fontId="23" fillId="4" borderId="3" xfId="0" applyFont="1" applyFill="1" applyBorder="1" applyAlignment="1">
      <alignment horizontal="justify" vertical="center" wrapText="1"/>
    </xf>
    <xf numFmtId="172" fontId="54" fillId="4" borderId="0" xfId="2" applyNumberFormat="1" applyFont="1" applyFill="1"/>
    <xf numFmtId="172" fontId="23" fillId="4" borderId="0" xfId="2" applyNumberFormat="1" applyFont="1" applyFill="1"/>
    <xf numFmtId="172" fontId="23" fillId="4" borderId="0" xfId="0" applyNumberFormat="1" applyFont="1" applyFill="1"/>
    <xf numFmtId="0" fontId="55" fillId="4" borderId="4" xfId="0" applyFont="1" applyFill="1" applyBorder="1" applyAlignment="1">
      <alignment horizontal="center" vertical="center" wrapText="1"/>
    </xf>
    <xf numFmtId="0" fontId="55" fillId="4" borderId="4" xfId="0" applyFont="1" applyFill="1" applyBorder="1" applyAlignment="1">
      <alignment vertical="center" wrapText="1"/>
    </xf>
    <xf numFmtId="172" fontId="55" fillId="4" borderId="0" xfId="2" applyNumberFormat="1" applyFont="1" applyFill="1"/>
    <xf numFmtId="0" fontId="51" fillId="4" borderId="5" xfId="0" applyFont="1" applyFill="1" applyBorder="1" applyAlignment="1">
      <alignment horizontal="center" vertical="center" wrapText="1"/>
    </xf>
    <xf numFmtId="0" fontId="51" fillId="4" borderId="5" xfId="0" applyFont="1" applyFill="1" applyBorder="1" applyAlignment="1">
      <alignment vertical="center" wrapText="1"/>
    </xf>
    <xf numFmtId="0" fontId="55" fillId="4" borderId="5" xfId="0" applyFont="1" applyFill="1" applyBorder="1" applyAlignment="1">
      <alignment vertical="center" wrapText="1"/>
    </xf>
    <xf numFmtId="170" fontId="56" fillId="4" borderId="5" xfId="2" applyFont="1" applyFill="1" applyBorder="1" applyAlignment="1">
      <alignment horizontal="center" vertical="center" wrapText="1"/>
    </xf>
    <xf numFmtId="170" fontId="56" fillId="4" borderId="6" xfId="2" applyFont="1" applyFill="1" applyBorder="1" applyAlignment="1">
      <alignment horizontal="center" vertical="center" wrapText="1"/>
    </xf>
    <xf numFmtId="186" fontId="46" fillId="4" borderId="0" xfId="0" applyNumberFormat="1" applyFont="1" applyFill="1"/>
    <xf numFmtId="179" fontId="20" fillId="4" borderId="0" xfId="2" applyNumberFormat="1" applyFont="1" applyFill="1"/>
    <xf numFmtId="0" fontId="3" fillId="4" borderId="5" xfId="0" applyFont="1" applyFill="1" applyBorder="1" applyAlignment="1">
      <alignment horizontal="justify" wrapText="1"/>
    </xf>
    <xf numFmtId="0" fontId="7" fillId="4" borderId="5" xfId="0" applyFont="1" applyFill="1" applyBorder="1" applyAlignment="1">
      <alignment horizontal="justify" wrapText="1"/>
    </xf>
    <xf numFmtId="176" fontId="46" fillId="4" borderId="0" xfId="0" applyNumberFormat="1" applyFont="1" applyFill="1"/>
    <xf numFmtId="0" fontId="59" fillId="4" borderId="0" xfId="0" applyFont="1" applyFill="1"/>
    <xf numFmtId="0" fontId="60" fillId="4" borderId="0" xfId="0" applyFont="1" applyFill="1"/>
    <xf numFmtId="0" fontId="48" fillId="4" borderId="3" xfId="0" applyFont="1" applyFill="1" applyBorder="1" applyAlignment="1">
      <alignment horizontal="center" vertical="center" wrapText="1"/>
    </xf>
    <xf numFmtId="0" fontId="49" fillId="4" borderId="0" xfId="0" applyFont="1" applyFill="1" applyAlignment="1">
      <alignment horizontal="right" vertical="center"/>
    </xf>
    <xf numFmtId="179" fontId="59" fillId="4" borderId="0" xfId="2" applyNumberFormat="1" applyFont="1" applyFill="1"/>
    <xf numFmtId="0" fontId="46" fillId="0" borderId="0" xfId="0" applyFont="1"/>
    <xf numFmtId="0" fontId="49" fillId="0" borderId="0" xfId="0" applyFont="1" applyAlignment="1">
      <alignment horizontal="right" vertical="center"/>
    </xf>
    <xf numFmtId="0" fontId="48" fillId="0" borderId="3" xfId="0" applyFont="1" applyBorder="1" applyAlignment="1">
      <alignment horizontal="center" vertical="center" wrapText="1"/>
    </xf>
    <xf numFmtId="170" fontId="59" fillId="4" borderId="7" xfId="2" applyFont="1" applyFill="1" applyBorder="1" applyAlignment="1">
      <alignment horizontal="center" vertical="center" wrapText="1"/>
    </xf>
    <xf numFmtId="0" fontId="48" fillId="4" borderId="0" xfId="0" applyFont="1" applyFill="1" applyAlignment="1">
      <alignment horizontal="right" vertical="center"/>
    </xf>
    <xf numFmtId="172" fontId="60" fillId="4" borderId="3" xfId="2" applyNumberFormat="1" applyFont="1" applyFill="1" applyBorder="1" applyAlignment="1">
      <alignment horizontal="center" vertical="center" wrapText="1"/>
    </xf>
    <xf numFmtId="0" fontId="60" fillId="4" borderId="3" xfId="0" applyFont="1" applyFill="1" applyBorder="1" applyAlignment="1">
      <alignment vertical="center" wrapText="1"/>
    </xf>
    <xf numFmtId="178" fontId="62" fillId="4" borderId="3" xfId="2" applyNumberFormat="1" applyFont="1" applyFill="1" applyBorder="1" applyAlignment="1">
      <alignment horizontal="center" vertical="center" wrapText="1"/>
    </xf>
    <xf numFmtId="0" fontId="46" fillId="4" borderId="5" xfId="0" applyFont="1" applyFill="1" applyBorder="1" applyAlignment="1">
      <alignment horizontal="center" vertical="center" wrapText="1"/>
    </xf>
    <xf numFmtId="178" fontId="59" fillId="4" borderId="5" xfId="2" applyNumberFormat="1" applyFont="1" applyFill="1" applyBorder="1" applyAlignment="1">
      <alignment horizontal="center" vertical="center" wrapText="1"/>
    </xf>
    <xf numFmtId="179" fontId="59" fillId="4" borderId="0" xfId="2" applyNumberFormat="1" applyFont="1" applyFill="1" applyAlignment="1"/>
    <xf numFmtId="179" fontId="46" fillId="4" borderId="0" xfId="0" applyNumberFormat="1" applyFont="1" applyFill="1"/>
    <xf numFmtId="187" fontId="46" fillId="4" borderId="0" xfId="0" applyNumberFormat="1" applyFont="1" applyFill="1"/>
    <xf numFmtId="0" fontId="63" fillId="4" borderId="0" xfId="0" applyFont="1" applyFill="1"/>
    <xf numFmtId="170" fontId="63" fillId="4" borderId="0" xfId="2" applyFont="1" applyFill="1"/>
    <xf numFmtId="179" fontId="63" fillId="4" borderId="0" xfId="2" applyNumberFormat="1" applyFont="1" applyFill="1"/>
    <xf numFmtId="0" fontId="7" fillId="4" borderId="5" xfId="0" applyFont="1" applyFill="1" applyBorder="1" applyAlignment="1">
      <alignment vertical="center" wrapText="1"/>
    </xf>
    <xf numFmtId="0" fontId="23" fillId="4" borderId="3" xfId="0" applyFont="1" applyFill="1" applyBorder="1" applyAlignment="1">
      <alignment horizontal="center" vertical="center" wrapText="1"/>
    </xf>
    <xf numFmtId="0" fontId="46" fillId="4" borderId="5" xfId="0" applyFont="1" applyFill="1" applyBorder="1" applyAlignment="1">
      <alignment horizontal="justify" vertical="center" wrapText="1"/>
    </xf>
    <xf numFmtId="0" fontId="75" fillId="4" borderId="13" xfId="0" applyFont="1" applyFill="1" applyBorder="1" applyAlignment="1">
      <alignment horizontal="right"/>
    </xf>
    <xf numFmtId="0" fontId="9" fillId="4" borderId="13" xfId="0" applyFont="1" applyFill="1" applyBorder="1" applyAlignment="1">
      <alignment horizontal="center"/>
    </xf>
    <xf numFmtId="179" fontId="51" fillId="4" borderId="6" xfId="2" applyNumberFormat="1" applyFont="1" applyFill="1" applyBorder="1" applyAlignment="1" applyProtection="1">
      <alignment horizontal="right" vertical="center" wrapText="1"/>
      <protection hidden="1"/>
    </xf>
    <xf numFmtId="179" fontId="51" fillId="4" borderId="0" xfId="2" applyNumberFormat="1" applyFont="1" applyFill="1" applyBorder="1" applyAlignment="1" applyProtection="1">
      <alignment horizontal="right" vertical="center" wrapText="1"/>
      <protection hidden="1"/>
    </xf>
    <xf numFmtId="175" fontId="7" fillId="4" borderId="0" xfId="2" applyNumberFormat="1" applyFont="1" applyFill="1"/>
    <xf numFmtId="172" fontId="54" fillId="4" borderId="0" xfId="0" applyNumberFormat="1" applyFont="1" applyFill="1"/>
    <xf numFmtId="175" fontId="23" fillId="4" borderId="0" xfId="2" applyNumberFormat="1" applyFont="1" applyFill="1"/>
    <xf numFmtId="175" fontId="54" fillId="4" borderId="0" xfId="2" applyNumberFormat="1" applyFont="1" applyFill="1"/>
    <xf numFmtId="43" fontId="71" fillId="4" borderId="13" xfId="2" applyNumberFormat="1" applyFont="1" applyFill="1" applyBorder="1" applyAlignment="1">
      <alignment horizontal="right"/>
    </xf>
    <xf numFmtId="43" fontId="71" fillId="4" borderId="0" xfId="2" applyNumberFormat="1" applyFont="1" applyFill="1" applyBorder="1" applyAlignment="1">
      <alignment horizontal="right"/>
    </xf>
    <xf numFmtId="175" fontId="23" fillId="4" borderId="3" xfId="2" applyNumberFormat="1" applyFont="1" applyFill="1" applyBorder="1" applyAlignment="1">
      <alignment horizontal="center" vertical="center" wrapText="1"/>
    </xf>
    <xf numFmtId="0" fontId="3" fillId="4" borderId="8" xfId="0" applyFont="1" applyFill="1" applyBorder="1" applyAlignment="1">
      <alignment horizontal="center" wrapText="1"/>
    </xf>
    <xf numFmtId="0" fontId="23" fillId="4" borderId="16" xfId="0" applyFont="1" applyFill="1" applyBorder="1" applyAlignment="1">
      <alignment horizontal="justify" wrapText="1"/>
    </xf>
    <xf numFmtId="172" fontId="3" fillId="4" borderId="8" xfId="2" applyNumberFormat="1" applyFont="1" applyFill="1" applyBorder="1" applyAlignment="1">
      <alignment horizontal="justify" wrapText="1"/>
    </xf>
    <xf numFmtId="0" fontId="54" fillId="4" borderId="4" xfId="0" applyFont="1" applyFill="1" applyBorder="1" applyAlignment="1">
      <alignment horizontal="center" wrapText="1"/>
    </xf>
    <xf numFmtId="0" fontId="7" fillId="4" borderId="4" xfId="0" applyFont="1" applyFill="1" applyBorder="1" applyAlignment="1">
      <alignment horizontal="justify" wrapText="1"/>
    </xf>
    <xf numFmtId="172" fontId="7" fillId="4" borderId="4" xfId="0" applyNumberFormat="1" applyFont="1" applyFill="1" applyBorder="1" applyAlignment="1">
      <alignment horizontal="justify" wrapText="1"/>
    </xf>
    <xf numFmtId="172" fontId="7" fillId="4" borderId="4" xfId="2" applyNumberFormat="1" applyFont="1" applyFill="1" applyBorder="1" applyAlignment="1">
      <alignment horizontal="justify" wrapText="1"/>
    </xf>
    <xf numFmtId="175" fontId="3" fillId="4" borderId="4" xfId="2" applyNumberFormat="1" applyFont="1" applyFill="1" applyBorder="1" applyAlignment="1"/>
    <xf numFmtId="14" fontId="3" fillId="4" borderId="4" xfId="0" applyNumberFormat="1" applyFont="1" applyFill="1" applyBorder="1"/>
    <xf numFmtId="175" fontId="3" fillId="4" borderId="4" xfId="2" applyNumberFormat="1" applyFont="1" applyFill="1" applyBorder="1"/>
    <xf numFmtId="172" fontId="7" fillId="4" borderId="5" xfId="0" applyNumberFormat="1" applyFont="1" applyFill="1" applyBorder="1" applyAlignment="1">
      <alignment horizontal="justify" wrapText="1"/>
    </xf>
    <xf numFmtId="172" fontId="7" fillId="4" borderId="5" xfId="2" applyNumberFormat="1" applyFont="1" applyFill="1" applyBorder="1" applyAlignment="1" applyProtection="1">
      <alignment horizontal="right" wrapText="1"/>
      <protection hidden="1"/>
    </xf>
    <xf numFmtId="175" fontId="3" fillId="4" borderId="5" xfId="2" applyNumberFormat="1" applyFont="1" applyFill="1" applyBorder="1" applyAlignment="1"/>
    <xf numFmtId="14" fontId="3" fillId="4" borderId="5" xfId="0" applyNumberFormat="1" applyFont="1" applyFill="1" applyBorder="1"/>
    <xf numFmtId="175" fontId="3" fillId="4" borderId="5" xfId="2" applyNumberFormat="1" applyFont="1" applyFill="1" applyBorder="1"/>
    <xf numFmtId="172" fontId="7" fillId="4" borderId="5" xfId="2" applyNumberFormat="1" applyFont="1" applyFill="1" applyBorder="1" applyAlignment="1">
      <alignment horizontal="justify" wrapText="1"/>
    </xf>
    <xf numFmtId="172" fontId="3" fillId="4" borderId="5" xfId="2" applyNumberFormat="1" applyFont="1" applyFill="1" applyBorder="1" applyAlignment="1">
      <alignment horizontal="justify" wrapText="1"/>
    </xf>
    <xf numFmtId="3" fontId="45" fillId="4" borderId="5" xfId="0" applyNumberFormat="1" applyFont="1" applyFill="1" applyBorder="1"/>
    <xf numFmtId="3" fontId="3" fillId="4" borderId="5" xfId="2" applyNumberFormat="1" applyFont="1" applyFill="1" applyBorder="1" applyAlignment="1"/>
    <xf numFmtId="175" fontId="7" fillId="4" borderId="5" xfId="2" applyNumberFormat="1" applyFont="1" applyFill="1" applyBorder="1" applyAlignment="1"/>
    <xf numFmtId="14" fontId="7" fillId="4" borderId="5" xfId="0" applyNumberFormat="1" applyFont="1" applyFill="1" applyBorder="1"/>
    <xf numFmtId="3" fontId="7" fillId="4" borderId="5" xfId="2" applyNumberFormat="1" applyFont="1" applyFill="1" applyBorder="1" applyAlignment="1"/>
    <xf numFmtId="175" fontId="7" fillId="4" borderId="5" xfId="2" applyNumberFormat="1" applyFont="1" applyFill="1" applyBorder="1"/>
    <xf numFmtId="0" fontId="51" fillId="4" borderId="5" xfId="0" applyFont="1" applyFill="1" applyBorder="1" applyAlignment="1">
      <alignment horizontal="justify" wrapText="1"/>
    </xf>
    <xf numFmtId="175" fontId="7" fillId="4" borderId="5" xfId="2" applyNumberFormat="1" applyFont="1" applyFill="1" applyBorder="1" applyAlignment="1">
      <alignment horizontal="justify" wrapText="1"/>
    </xf>
    <xf numFmtId="0" fontId="51" fillId="4" borderId="5" xfId="0" applyFont="1" applyFill="1" applyBorder="1" applyAlignment="1">
      <alignment horizontal="right"/>
    </xf>
    <xf numFmtId="172" fontId="7" fillId="4" borderId="5" xfId="2" applyNumberFormat="1" applyFont="1" applyFill="1" applyBorder="1" applyAlignment="1">
      <alignment horizontal="right"/>
    </xf>
    <xf numFmtId="0" fontId="7" fillId="4" borderId="5" xfId="0" applyFont="1" applyFill="1" applyBorder="1"/>
    <xf numFmtId="0" fontId="51" fillId="4" borderId="5" xfId="0" applyFont="1" applyFill="1" applyBorder="1"/>
    <xf numFmtId="0" fontId="51" fillId="4" borderId="6" xfId="0" applyFont="1" applyFill="1" applyBorder="1" applyAlignment="1">
      <alignment horizontal="right"/>
    </xf>
    <xf numFmtId="0" fontId="7" fillId="4" borderId="6" xfId="0" applyFont="1" applyFill="1" applyBorder="1" applyAlignment="1">
      <alignment horizontal="justify" wrapText="1"/>
    </xf>
    <xf numFmtId="0" fontId="7" fillId="4" borderId="6" xfId="0" applyFont="1" applyFill="1" applyBorder="1"/>
    <xf numFmtId="172" fontId="7" fillId="4" borderId="6" xfId="2" applyNumberFormat="1" applyFont="1" applyFill="1" applyBorder="1" applyAlignment="1">
      <alignment horizontal="right"/>
    </xf>
    <xf numFmtId="175" fontId="7" fillId="4" borderId="6" xfId="2" applyNumberFormat="1" applyFont="1" applyFill="1" applyBorder="1" applyAlignment="1"/>
    <xf numFmtId="3" fontId="7" fillId="4" borderId="6" xfId="2" applyNumberFormat="1" applyFont="1" applyFill="1" applyBorder="1" applyAlignment="1"/>
    <xf numFmtId="175" fontId="7" fillId="4" borderId="6" xfId="2" applyNumberFormat="1" applyFont="1" applyFill="1" applyBorder="1"/>
    <xf numFmtId="0" fontId="7" fillId="4" borderId="0" xfId="0" applyFont="1" applyFill="1" applyAlignment="1">
      <alignment horizontal="right"/>
    </xf>
    <xf numFmtId="172" fontId="51" fillId="4" borderId="0" xfId="2" applyNumberFormat="1" applyFont="1" applyFill="1" applyAlignment="1">
      <alignment horizontal="right"/>
    </xf>
    <xf numFmtId="0" fontId="33" fillId="0" borderId="6" xfId="0" applyFont="1" applyBorder="1" applyAlignment="1">
      <alignment horizontal="justify" wrapText="1"/>
    </xf>
    <xf numFmtId="0" fontId="53" fillId="4" borderId="0" xfId="0" applyFont="1" applyFill="1" applyAlignment="1">
      <alignment horizontal="justify"/>
    </xf>
    <xf numFmtId="0" fontId="54" fillId="4" borderId="5" xfId="0" applyFont="1" applyFill="1" applyBorder="1" applyAlignment="1">
      <alignment horizontal="center" vertical="center" wrapText="1"/>
    </xf>
    <xf numFmtId="170" fontId="23" fillId="4" borderId="3" xfId="2" applyFont="1" applyFill="1" applyBorder="1" applyAlignment="1">
      <alignment horizontal="center" vertical="center" wrapText="1"/>
    </xf>
    <xf numFmtId="179" fontId="54" fillId="4" borderId="13" xfId="2" applyNumberFormat="1" applyFont="1" applyFill="1" applyBorder="1" applyAlignment="1">
      <alignment vertical="center"/>
    </xf>
    <xf numFmtId="0" fontId="23" fillId="4" borderId="4" xfId="0" applyFont="1" applyFill="1" applyBorder="1" applyAlignment="1">
      <alignment horizontal="center" vertical="center" wrapText="1"/>
    </xf>
    <xf numFmtId="0" fontId="23" fillId="4" borderId="4" xfId="0" applyFont="1" applyFill="1" applyBorder="1" applyAlignment="1">
      <alignment vertical="center" wrapText="1"/>
    </xf>
    <xf numFmtId="170" fontId="23" fillId="4" borderId="4" xfId="2" applyFont="1" applyFill="1" applyBorder="1" applyAlignment="1">
      <alignment horizontal="center" vertical="center" wrapText="1"/>
    </xf>
    <xf numFmtId="179" fontId="23" fillId="4" borderId="4" xfId="2" applyNumberFormat="1" applyFont="1" applyFill="1" applyBorder="1" applyAlignment="1">
      <alignment horizontal="center" vertical="center" wrapText="1"/>
    </xf>
    <xf numFmtId="0" fontId="23" fillId="4" borderId="5" xfId="0" applyFont="1" applyFill="1" applyBorder="1" applyAlignment="1">
      <alignment vertical="center" wrapText="1"/>
    </xf>
    <xf numFmtId="170" fontId="23" fillId="4" borderId="5" xfId="2" applyFont="1" applyFill="1" applyBorder="1" applyAlignment="1">
      <alignment horizontal="center" vertical="center" wrapText="1"/>
    </xf>
    <xf numFmtId="179" fontId="23" fillId="4" borderId="5" xfId="2" applyNumberFormat="1" applyFont="1" applyFill="1" applyBorder="1" applyAlignment="1">
      <alignment vertical="center" wrapText="1"/>
    </xf>
    <xf numFmtId="181" fontId="23" fillId="4" borderId="0" xfId="2" applyNumberFormat="1" applyFont="1" applyFill="1"/>
    <xf numFmtId="0" fontId="54" fillId="4" borderId="5" xfId="0" applyFont="1" applyFill="1" applyBorder="1" applyAlignment="1">
      <alignment vertical="center" wrapText="1"/>
    </xf>
    <xf numFmtId="0" fontId="54" fillId="4" borderId="5" xfId="0" applyFont="1" applyFill="1" applyBorder="1" applyAlignment="1">
      <alignment wrapText="1"/>
    </xf>
    <xf numFmtId="179" fontId="54" fillId="4" borderId="5" xfId="2" applyNumberFormat="1" applyFont="1" applyFill="1" applyBorder="1" applyAlignment="1">
      <alignment vertical="center" wrapText="1"/>
    </xf>
    <xf numFmtId="178" fontId="23" fillId="4" borderId="0" xfId="2" applyNumberFormat="1" applyFont="1" applyFill="1"/>
    <xf numFmtId="179" fontId="23" fillId="4" borderId="5" xfId="2" applyNumberFormat="1" applyFont="1" applyFill="1" applyBorder="1" applyAlignment="1">
      <alignment horizontal="center" vertical="center" wrapText="1"/>
    </xf>
    <xf numFmtId="0" fontId="73" fillId="4" borderId="5" xfId="0" applyFont="1" applyFill="1" applyBorder="1" applyAlignment="1">
      <alignment vertical="center" wrapText="1"/>
    </xf>
    <xf numFmtId="179" fontId="23" fillId="4" borderId="0" xfId="2" applyNumberFormat="1" applyFont="1" applyFill="1"/>
    <xf numFmtId="179" fontId="54" fillId="4" borderId="5" xfId="2" applyNumberFormat="1" applyFont="1" applyFill="1" applyBorder="1"/>
    <xf numFmtId="179" fontId="23" fillId="4" borderId="6" xfId="2" applyNumberFormat="1" applyFont="1" applyFill="1" applyBorder="1" applyAlignment="1">
      <alignment horizontal="center" vertical="center" wrapText="1"/>
    </xf>
    <xf numFmtId="186" fontId="54" fillId="4" borderId="0" xfId="2" applyNumberFormat="1" applyFont="1" applyFill="1"/>
    <xf numFmtId="0" fontId="72" fillId="4" borderId="0" xfId="0" applyFont="1" applyFill="1" applyAlignment="1">
      <alignment horizontal="justify"/>
    </xf>
    <xf numFmtId="0" fontId="51" fillId="4" borderId="0" xfId="0" applyFont="1" applyFill="1" applyAlignment="1">
      <alignment horizontal="center"/>
    </xf>
    <xf numFmtId="0" fontId="73" fillId="4" borderId="0" xfId="0" applyFont="1" applyFill="1"/>
    <xf numFmtId="0" fontId="7" fillId="4" borderId="5" xfId="0" applyFont="1" applyFill="1" applyBorder="1" applyAlignment="1">
      <alignment horizontal="justify" vertical="center" wrapText="1"/>
    </xf>
    <xf numFmtId="176" fontId="46" fillId="4" borderId="0" xfId="0" applyNumberFormat="1" applyFont="1" applyFill="1" applyAlignment="1">
      <alignment horizontal="center"/>
    </xf>
    <xf numFmtId="176" fontId="61" fillId="4" borderId="0" xfId="0" applyNumberFormat="1" applyFont="1" applyFill="1"/>
    <xf numFmtId="176" fontId="61" fillId="4" borderId="0" xfId="0" applyNumberFormat="1" applyFont="1" applyFill="1" applyAlignment="1">
      <alignment horizontal="center"/>
    </xf>
    <xf numFmtId="178" fontId="46" fillId="4" borderId="0" xfId="0" applyNumberFormat="1" applyFont="1" applyFill="1"/>
    <xf numFmtId="0" fontId="4" fillId="4" borderId="0" xfId="0" applyFont="1" applyFill="1" applyAlignment="1">
      <alignment vertical="center" wrapText="1"/>
    </xf>
    <xf numFmtId="0" fontId="51" fillId="4" borderId="5" xfId="0" applyFont="1" applyFill="1" applyBorder="1" applyAlignment="1">
      <alignment horizontal="justify" vertical="center" wrapText="1"/>
    </xf>
    <xf numFmtId="0" fontId="55" fillId="4" borderId="5" xfId="0" applyFont="1" applyFill="1" applyBorder="1" applyAlignment="1">
      <alignment horizontal="center" vertical="center" wrapText="1"/>
    </xf>
    <xf numFmtId="0" fontId="46" fillId="4" borderId="6" xfId="0" applyFont="1" applyFill="1" applyBorder="1" applyAlignment="1">
      <alignment horizontal="center" vertical="center" wrapText="1"/>
    </xf>
    <xf numFmtId="178" fontId="59" fillId="4" borderId="6" xfId="2" applyNumberFormat="1" applyFont="1" applyFill="1" applyBorder="1" applyAlignment="1">
      <alignment horizontal="center" vertical="center" wrapText="1"/>
    </xf>
    <xf numFmtId="186" fontId="59" fillId="4" borderId="6" xfId="2" applyNumberFormat="1" applyFont="1" applyFill="1" applyBorder="1" applyAlignment="1">
      <alignment horizontal="center" vertical="center" wrapText="1"/>
    </xf>
    <xf numFmtId="179" fontId="59" fillId="4" borderId="6" xfId="2" applyNumberFormat="1" applyFont="1" applyFill="1" applyBorder="1" applyAlignment="1">
      <alignment vertical="center"/>
    </xf>
    <xf numFmtId="179" fontId="59" fillId="4" borderId="6" xfId="2" applyNumberFormat="1" applyFont="1" applyFill="1" applyBorder="1" applyAlignment="1">
      <alignment horizontal="center" vertical="center" wrapText="1"/>
    </xf>
    <xf numFmtId="170" fontId="59" fillId="4" borderId="6" xfId="2" applyFont="1" applyFill="1" applyBorder="1" applyAlignment="1">
      <alignment horizontal="center" vertical="center" wrapText="1"/>
    </xf>
    <xf numFmtId="0" fontId="20" fillId="0" borderId="5" xfId="0" applyFont="1" applyBorder="1" applyAlignment="1">
      <alignment vertical="center" wrapText="1"/>
    </xf>
    <xf numFmtId="0" fontId="51" fillId="0" borderId="5" xfId="0" applyFont="1" applyBorder="1" applyAlignment="1">
      <alignment vertical="center" wrapText="1"/>
    </xf>
    <xf numFmtId="170" fontId="4" fillId="4" borderId="0" xfId="2" applyFont="1" applyFill="1" applyAlignment="1">
      <alignment horizontal="right" vertical="center"/>
    </xf>
    <xf numFmtId="0" fontId="23" fillId="4" borderId="5" xfId="0" applyFont="1" applyFill="1" applyBorder="1" applyAlignment="1">
      <alignment horizontal="justify" vertical="center" wrapText="1"/>
    </xf>
    <xf numFmtId="172" fontId="3" fillId="6" borderId="8" xfId="2" applyNumberFormat="1" applyFont="1" applyFill="1" applyBorder="1" applyAlignment="1">
      <alignment horizontal="justify" wrapText="1"/>
    </xf>
    <xf numFmtId="172" fontId="3" fillId="6" borderId="5" xfId="2" applyNumberFormat="1" applyFont="1" applyFill="1" applyBorder="1" applyAlignment="1">
      <alignment horizontal="justify" wrapText="1"/>
    </xf>
    <xf numFmtId="0" fontId="86" fillId="4" borderId="0" xfId="0" applyFont="1" applyFill="1"/>
    <xf numFmtId="0" fontId="20" fillId="4" borderId="0" xfId="0" applyFont="1" applyFill="1"/>
    <xf numFmtId="0" fontId="88" fillId="4" borderId="0" xfId="0" applyFont="1" applyFill="1"/>
    <xf numFmtId="0" fontId="3" fillId="4" borderId="3" xfId="0" applyFont="1" applyFill="1" applyBorder="1" applyAlignment="1">
      <alignment horizontal="center" vertical="center" wrapText="1"/>
    </xf>
    <xf numFmtId="0" fontId="47" fillId="4" borderId="0" xfId="0" applyFont="1" applyFill="1"/>
    <xf numFmtId="0" fontId="69" fillId="4" borderId="0" xfId="0" applyFont="1" applyFill="1"/>
    <xf numFmtId="0" fontId="50" fillId="0" borderId="0" xfId="0" applyFont="1"/>
    <xf numFmtId="0" fontId="48" fillId="4" borderId="0" xfId="0" applyFont="1" applyFill="1" applyAlignment="1">
      <alignment vertical="center"/>
    </xf>
    <xf numFmtId="177" fontId="46" fillId="4" borderId="0" xfId="2" applyNumberFormat="1" applyFont="1" applyFill="1"/>
    <xf numFmtId="0" fontId="50" fillId="4" borderId="0" xfId="0" applyFont="1" applyFill="1"/>
    <xf numFmtId="0" fontId="98" fillId="4" borderId="0" xfId="0" applyFont="1" applyFill="1" applyAlignment="1">
      <alignment horizontal="justify"/>
    </xf>
    <xf numFmtId="0" fontId="97" fillId="4" borderId="0" xfId="0" applyFont="1" applyFill="1" applyAlignment="1">
      <alignment horizontal="justify"/>
    </xf>
    <xf numFmtId="172" fontId="53" fillId="4" borderId="0" xfId="0" applyNumberFormat="1" applyFont="1" applyFill="1" applyAlignment="1">
      <alignment horizontal="justify"/>
    </xf>
    <xf numFmtId="172" fontId="4" fillId="4" borderId="0" xfId="2" applyNumberFormat="1" applyFont="1" applyFill="1" applyAlignment="1">
      <alignment horizontal="right" vertical="center"/>
    </xf>
    <xf numFmtId="0" fontId="7" fillId="4" borderId="0" xfId="0" applyFont="1" applyFill="1" applyAlignment="1">
      <alignment horizontal="center" vertical="center" wrapText="1"/>
    </xf>
    <xf numFmtId="172" fontId="86" fillId="4" borderId="0" xfId="2" applyNumberFormat="1" applyFont="1" applyFill="1"/>
    <xf numFmtId="172" fontId="69" fillId="4" borderId="0" xfId="2" applyNumberFormat="1" applyFont="1" applyFill="1"/>
    <xf numFmtId="172" fontId="0" fillId="0" borderId="0" xfId="2" applyNumberFormat="1" applyFont="1"/>
    <xf numFmtId="172" fontId="97" fillId="4" borderId="3" xfId="2" applyNumberFormat="1" applyFont="1" applyFill="1" applyBorder="1" applyAlignment="1">
      <alignment horizontal="justify"/>
    </xf>
    <xf numFmtId="172" fontId="53" fillId="4" borderId="3" xfId="2" applyNumberFormat="1" applyFont="1" applyFill="1" applyBorder="1" applyAlignment="1">
      <alignment horizontal="justify"/>
    </xf>
    <xf numFmtId="0" fontId="40" fillId="0" borderId="3" xfId="0" applyFont="1" applyBorder="1"/>
    <xf numFmtId="0" fontId="72" fillId="4" borderId="3" xfId="0" applyFont="1" applyFill="1" applyBorder="1" applyAlignment="1">
      <alignment horizontal="center"/>
    </xf>
    <xf numFmtId="0" fontId="72" fillId="4" borderId="3" xfId="0" applyFont="1" applyFill="1" applyBorder="1" applyAlignment="1">
      <alignment horizontal="justify" wrapText="1"/>
    </xf>
    <xf numFmtId="172" fontId="72" fillId="4" borderId="3" xfId="2" applyNumberFormat="1" applyFont="1" applyFill="1" applyBorder="1" applyAlignment="1">
      <alignment horizontal="right" wrapText="1"/>
    </xf>
    <xf numFmtId="172" fontId="72" fillId="4" borderId="3" xfId="2" applyNumberFormat="1" applyFont="1" applyFill="1" applyBorder="1" applyAlignment="1">
      <alignment wrapText="1"/>
    </xf>
    <xf numFmtId="172" fontId="72" fillId="4" borderId="3" xfId="2" applyNumberFormat="1" applyFont="1" applyFill="1" applyBorder="1" applyAlignment="1">
      <alignment horizontal="justify"/>
    </xf>
    <xf numFmtId="0" fontId="72" fillId="4" borderId="3" xfId="0" applyFont="1" applyFill="1" applyBorder="1" applyAlignment="1">
      <alignment vertical="center" wrapText="1"/>
    </xf>
    <xf numFmtId="172" fontId="72" fillId="4" borderId="3" xfId="2" applyNumberFormat="1" applyFont="1" applyFill="1" applyBorder="1" applyAlignment="1"/>
    <xf numFmtId="175" fontId="72" fillId="4" borderId="3" xfId="2" applyNumberFormat="1" applyFont="1" applyFill="1" applyBorder="1" applyAlignment="1"/>
    <xf numFmtId="3" fontId="72" fillId="4" borderId="3" xfId="20" applyNumberFormat="1" applyFont="1" applyFill="1" applyBorder="1" applyAlignment="1">
      <alignment horizontal="right" vertical="center"/>
    </xf>
    <xf numFmtId="175" fontId="72" fillId="4" borderId="3" xfId="2" applyNumberFormat="1" applyFont="1" applyFill="1" applyBorder="1" applyAlignment="1">
      <alignment horizontal="right" wrapText="1"/>
    </xf>
    <xf numFmtId="191" fontId="72" fillId="4" borderId="3" xfId="2" applyNumberFormat="1" applyFont="1" applyFill="1" applyBorder="1" applyAlignment="1">
      <alignment horizontal="right"/>
    </xf>
    <xf numFmtId="175" fontId="72" fillId="4" borderId="3" xfId="2" applyNumberFormat="1" applyFont="1" applyFill="1" applyBorder="1" applyAlignment="1">
      <alignment horizontal="right"/>
    </xf>
    <xf numFmtId="172" fontId="72" fillId="5" borderId="3" xfId="2" applyNumberFormat="1" applyFont="1" applyFill="1" applyBorder="1" applyAlignment="1">
      <alignment wrapText="1"/>
    </xf>
    <xf numFmtId="3" fontId="72" fillId="4" borderId="3" xfId="20" applyNumberFormat="1" applyFont="1" applyFill="1" applyBorder="1" applyAlignment="1">
      <alignment horizontal="right"/>
    </xf>
    <xf numFmtId="191" fontId="72" fillId="5" borderId="3" xfId="2" applyNumberFormat="1" applyFont="1" applyFill="1" applyBorder="1" applyAlignment="1">
      <alignment horizontal="right"/>
    </xf>
    <xf numFmtId="175" fontId="72" fillId="5" borderId="3" xfId="2" applyNumberFormat="1" applyFont="1" applyFill="1" applyBorder="1" applyAlignment="1">
      <alignment horizontal="right"/>
    </xf>
    <xf numFmtId="3" fontId="100" fillId="9" borderId="3" xfId="0" applyNumberFormat="1" applyFont="1" applyFill="1" applyBorder="1" applyAlignment="1">
      <alignment wrapText="1"/>
    </xf>
    <xf numFmtId="175" fontId="72" fillId="8" borderId="3" xfId="2" applyNumberFormat="1" applyFont="1" applyFill="1" applyBorder="1" applyAlignment="1">
      <alignment horizontal="right" wrapText="1"/>
    </xf>
    <xf numFmtId="172" fontId="72" fillId="7" borderId="3" xfId="2" applyNumberFormat="1" applyFont="1" applyFill="1" applyBorder="1" applyAlignment="1">
      <alignment wrapText="1"/>
    </xf>
    <xf numFmtId="0" fontId="72" fillId="4" borderId="3" xfId="0" applyFont="1" applyFill="1" applyBorder="1" applyAlignment="1">
      <alignment horizontal="justify" vertical="center" wrapText="1"/>
    </xf>
    <xf numFmtId="172" fontId="40" fillId="0" borderId="0" xfId="2" applyNumberFormat="1" applyFont="1"/>
    <xf numFmtId="172" fontId="40" fillId="0" borderId="3" xfId="2" applyNumberFormat="1" applyFont="1" applyBorder="1" applyAlignment="1">
      <alignment horizontal="center" vertical="center" wrapText="1"/>
    </xf>
    <xf numFmtId="0" fontId="55" fillId="0" borderId="3" xfId="0" applyFont="1" applyBorder="1"/>
    <xf numFmtId="172" fontId="41" fillId="0" borderId="3" xfId="2" applyNumberFormat="1" applyFont="1" applyBorder="1"/>
    <xf numFmtId="172" fontId="101" fillId="0" borderId="3" xfId="2" applyNumberFormat="1" applyFont="1" applyBorder="1"/>
    <xf numFmtId="0" fontId="98" fillId="4" borderId="3" xfId="0" applyFont="1" applyFill="1" applyBorder="1" applyAlignment="1">
      <alignment horizontal="center"/>
    </xf>
    <xf numFmtId="0" fontId="98" fillId="4" borderId="3" xfId="0" applyFont="1" applyFill="1" applyBorder="1" applyAlignment="1">
      <alignment horizontal="justify" wrapText="1"/>
    </xf>
    <xf numFmtId="172" fontId="98" fillId="4" borderId="3" xfId="2" applyNumberFormat="1" applyFont="1" applyFill="1" applyBorder="1" applyAlignment="1">
      <alignment horizontal="right" wrapText="1"/>
    </xf>
    <xf numFmtId="172" fontId="98" fillId="4" borderId="3" xfId="2" applyNumberFormat="1" applyFont="1" applyFill="1" applyBorder="1" applyAlignment="1">
      <alignment wrapText="1"/>
    </xf>
    <xf numFmtId="172" fontId="98" fillId="4" borderId="3" xfId="2" applyNumberFormat="1" applyFont="1" applyFill="1" applyBorder="1" applyAlignment="1">
      <alignment horizontal="justify"/>
    </xf>
    <xf numFmtId="0" fontId="98" fillId="4" borderId="3" xfId="0" applyFont="1" applyFill="1" applyBorder="1" applyAlignment="1">
      <alignment vertical="center" wrapText="1"/>
    </xf>
    <xf numFmtId="172" fontId="98" fillId="4" borderId="3" xfId="2" applyNumberFormat="1" applyFont="1" applyFill="1" applyBorder="1" applyAlignment="1"/>
    <xf numFmtId="175" fontId="98" fillId="4" borderId="3" xfId="2" applyNumberFormat="1" applyFont="1" applyFill="1" applyBorder="1" applyAlignment="1"/>
    <xf numFmtId="3" fontId="98" fillId="4" borderId="3" xfId="20" applyNumberFormat="1" applyFont="1" applyFill="1" applyBorder="1" applyAlignment="1">
      <alignment horizontal="right" vertical="center"/>
    </xf>
    <xf numFmtId="175" fontId="98" fillId="4" borderId="3" xfId="2" applyNumberFormat="1" applyFont="1" applyFill="1" applyBorder="1" applyAlignment="1">
      <alignment horizontal="right" wrapText="1"/>
    </xf>
    <xf numFmtId="191" fontId="98" fillId="4" borderId="3" xfId="2" applyNumberFormat="1" applyFont="1" applyFill="1" applyBorder="1" applyAlignment="1">
      <alignment horizontal="right"/>
    </xf>
    <xf numFmtId="175" fontId="98" fillId="4" borderId="3" xfId="2" applyNumberFormat="1" applyFont="1" applyFill="1" applyBorder="1" applyAlignment="1">
      <alignment horizontal="right"/>
    </xf>
    <xf numFmtId="0" fontId="102" fillId="0" borderId="3" xfId="0" applyFont="1" applyBorder="1"/>
    <xf numFmtId="172" fontId="103" fillId="0" borderId="3" xfId="2" applyNumberFormat="1" applyFont="1" applyBorder="1"/>
    <xf numFmtId="0" fontId="102" fillId="0" borderId="0" xfId="0" applyFont="1"/>
    <xf numFmtId="0" fontId="41" fillId="0" borderId="0" xfId="0" applyFont="1"/>
    <xf numFmtId="172" fontId="41" fillId="0" borderId="0" xfId="2" applyNumberFormat="1" applyFont="1"/>
    <xf numFmtId="0" fontId="101" fillId="0" borderId="0" xfId="0" applyFont="1"/>
    <xf numFmtId="0" fontId="52" fillId="0" borderId="0" xfId="0" applyFont="1"/>
    <xf numFmtId="172" fontId="52" fillId="0" borderId="0" xfId="2" applyNumberFormat="1" applyFont="1"/>
    <xf numFmtId="172" fontId="104" fillId="0" borderId="0" xfId="2" applyNumberFormat="1" applyFont="1"/>
    <xf numFmtId="0" fontId="104" fillId="0" borderId="0" xfId="0" applyFont="1"/>
    <xf numFmtId="0" fontId="55" fillId="11" borderId="3" xfId="0" applyFont="1" applyFill="1" applyBorder="1"/>
    <xf numFmtId="172" fontId="55" fillId="11" borderId="3" xfId="2" applyNumberFormat="1" applyFont="1" applyFill="1" applyBorder="1"/>
    <xf numFmtId="172" fontId="29" fillId="11" borderId="3" xfId="2" applyNumberFormat="1" applyFont="1" applyFill="1" applyBorder="1"/>
    <xf numFmtId="0" fontId="29" fillId="11" borderId="0" xfId="0" applyFont="1" applyFill="1"/>
    <xf numFmtId="172" fontId="29" fillId="0" borderId="0" xfId="0" applyNumberFormat="1" applyFont="1"/>
    <xf numFmtId="172" fontId="105" fillId="0" borderId="0" xfId="2" applyNumberFormat="1" applyFont="1"/>
    <xf numFmtId="172" fontId="64" fillId="0" borderId="3" xfId="2" applyNumberFormat="1" applyFont="1" applyBorder="1" applyAlignment="1">
      <alignment horizontal="center" vertical="center" wrapText="1"/>
    </xf>
    <xf numFmtId="172" fontId="105" fillId="0" borderId="3" xfId="2" applyNumberFormat="1" applyFont="1" applyBorder="1" applyAlignment="1">
      <alignment horizontal="center" vertical="center" wrapText="1"/>
    </xf>
    <xf numFmtId="172" fontId="105" fillId="0" borderId="0" xfId="2" applyNumberFormat="1" applyFont="1" applyBorder="1" applyAlignment="1">
      <alignment horizontal="center" vertical="center" wrapText="1"/>
    </xf>
    <xf numFmtId="172" fontId="106" fillId="11" borderId="3" xfId="2" applyNumberFormat="1" applyFont="1" applyFill="1" applyBorder="1"/>
    <xf numFmtId="0" fontId="106" fillId="11" borderId="3" xfId="0" applyFont="1" applyFill="1" applyBorder="1"/>
    <xf numFmtId="0" fontId="106" fillId="11" borderId="0" xfId="0" applyFont="1" applyFill="1"/>
    <xf numFmtId="172" fontId="106" fillId="0" borderId="3" xfId="2" applyNumberFormat="1" applyFont="1" applyBorder="1"/>
    <xf numFmtId="172" fontId="107" fillId="4" borderId="3" xfId="2" applyNumberFormat="1" applyFont="1" applyFill="1" applyBorder="1" applyAlignment="1">
      <alignment horizontal="justify"/>
    </xf>
    <xf numFmtId="0" fontId="72" fillId="5" borderId="3" xfId="0" applyFont="1" applyFill="1" applyBorder="1" applyAlignment="1">
      <alignment horizontal="center"/>
    </xf>
    <xf numFmtId="0" fontId="72" fillId="5" borderId="3" xfId="0" applyFont="1" applyFill="1" applyBorder="1" applyAlignment="1">
      <alignment vertical="center" wrapText="1"/>
    </xf>
    <xf numFmtId="172" fontId="72" fillId="5" borderId="3" xfId="2" applyNumberFormat="1" applyFont="1" applyFill="1" applyBorder="1" applyAlignment="1">
      <alignment horizontal="right" wrapText="1"/>
    </xf>
    <xf numFmtId="172" fontId="72" fillId="5" borderId="3" xfId="2" applyNumberFormat="1" applyFont="1" applyFill="1" applyBorder="1" applyAlignment="1"/>
    <xf numFmtId="175" fontId="72" fillId="5" borderId="3" xfId="2" applyNumberFormat="1" applyFont="1" applyFill="1" applyBorder="1" applyAlignment="1"/>
    <xf numFmtId="3" fontId="72" fillId="5" borderId="3" xfId="20" applyNumberFormat="1" applyFont="1" applyFill="1" applyBorder="1" applyAlignment="1">
      <alignment horizontal="right" vertical="center"/>
    </xf>
    <xf numFmtId="175" fontId="72" fillId="5" borderId="3" xfId="2" applyNumberFormat="1" applyFont="1" applyFill="1" applyBorder="1" applyAlignment="1">
      <alignment horizontal="right" wrapText="1"/>
    </xf>
    <xf numFmtId="172" fontId="72" fillId="10" borderId="3" xfId="2" applyNumberFormat="1" applyFont="1" applyFill="1" applyBorder="1" applyAlignment="1">
      <alignment horizontal="justify"/>
    </xf>
    <xf numFmtId="172" fontId="72" fillId="10" borderId="0" xfId="0" applyNumberFormat="1" applyFont="1" applyFill="1" applyAlignment="1">
      <alignment horizontal="justify"/>
    </xf>
    <xf numFmtId="172" fontId="105" fillId="10" borderId="3" xfId="2" applyNumberFormat="1" applyFont="1" applyFill="1" applyBorder="1" applyAlignment="1">
      <alignment horizontal="justify"/>
    </xf>
    <xf numFmtId="172" fontId="105" fillId="5" borderId="3" xfId="2" applyNumberFormat="1" applyFont="1" applyFill="1" applyBorder="1" applyAlignment="1">
      <alignment horizontal="justify"/>
    </xf>
    <xf numFmtId="172" fontId="105" fillId="5" borderId="0" xfId="2" applyNumberFormat="1" applyFont="1" applyFill="1" applyAlignment="1">
      <alignment horizontal="justify"/>
    </xf>
    <xf numFmtId="172" fontId="108" fillId="5" borderId="0" xfId="0" applyNumberFormat="1" applyFont="1" applyFill="1"/>
    <xf numFmtId="0" fontId="72" fillId="5" borderId="0" xfId="0" applyFont="1" applyFill="1" applyAlignment="1">
      <alignment horizontal="justify"/>
    </xf>
    <xf numFmtId="172" fontId="107" fillId="4" borderId="0" xfId="2" applyNumberFormat="1" applyFont="1" applyFill="1" applyAlignment="1">
      <alignment horizontal="justify"/>
    </xf>
    <xf numFmtId="0" fontId="72" fillId="12" borderId="3" xfId="0" applyFont="1" applyFill="1" applyBorder="1" applyAlignment="1">
      <alignment horizontal="center"/>
    </xf>
    <xf numFmtId="0" fontId="72" fillId="12" borderId="3" xfId="0" applyFont="1" applyFill="1" applyBorder="1" applyAlignment="1">
      <alignment vertical="center" wrapText="1"/>
    </xf>
    <xf numFmtId="172" fontId="72" fillId="12" borderId="3" xfId="2" applyNumberFormat="1" applyFont="1" applyFill="1" applyBorder="1" applyAlignment="1">
      <alignment horizontal="right" wrapText="1"/>
    </xf>
    <xf numFmtId="172" fontId="72" fillId="12" borderId="3" xfId="2" applyNumberFormat="1" applyFont="1" applyFill="1" applyBorder="1" applyAlignment="1">
      <alignment wrapText="1"/>
    </xf>
    <xf numFmtId="172" fontId="72" fillId="12" borderId="3" xfId="2" applyNumberFormat="1" applyFont="1" applyFill="1" applyBorder="1" applyAlignment="1"/>
    <xf numFmtId="175" fontId="72" fillId="12" borderId="3" xfId="2" applyNumberFormat="1" applyFont="1" applyFill="1" applyBorder="1" applyAlignment="1"/>
    <xf numFmtId="3" fontId="72" fillId="12" borderId="3" xfId="20" applyNumberFormat="1" applyFont="1" applyFill="1" applyBorder="1" applyAlignment="1">
      <alignment horizontal="right"/>
    </xf>
    <xf numFmtId="175" fontId="72" fillId="12" borderId="3" xfId="2" applyNumberFormat="1" applyFont="1" applyFill="1" applyBorder="1" applyAlignment="1">
      <alignment horizontal="right" wrapText="1"/>
    </xf>
    <xf numFmtId="191" fontId="72" fillId="12" borderId="3" xfId="2" applyNumberFormat="1" applyFont="1" applyFill="1" applyBorder="1" applyAlignment="1">
      <alignment horizontal="right"/>
    </xf>
    <xf numFmtId="175" fontId="72" fillId="12" borderId="3" xfId="2" applyNumberFormat="1" applyFont="1" applyFill="1" applyBorder="1" applyAlignment="1">
      <alignment horizontal="right"/>
    </xf>
    <xf numFmtId="172" fontId="72" fillId="12" borderId="3" xfId="2" applyNumberFormat="1" applyFont="1" applyFill="1" applyBorder="1" applyAlignment="1">
      <alignment horizontal="justify"/>
    </xf>
    <xf numFmtId="172" fontId="105" fillId="12" borderId="3" xfId="2" applyNumberFormat="1" applyFont="1" applyFill="1" applyBorder="1" applyAlignment="1">
      <alignment horizontal="justify"/>
    </xf>
    <xf numFmtId="172" fontId="105" fillId="12" borderId="0" xfId="2" applyNumberFormat="1" applyFont="1" applyFill="1" applyAlignment="1">
      <alignment horizontal="justify"/>
    </xf>
    <xf numFmtId="172" fontId="108" fillId="12" borderId="0" xfId="0" applyNumberFormat="1" applyFont="1" applyFill="1"/>
    <xf numFmtId="0" fontId="72" fillId="12" borderId="0" xfId="0" applyFont="1" applyFill="1" applyAlignment="1">
      <alignment horizontal="justify"/>
    </xf>
    <xf numFmtId="172" fontId="105" fillId="4" borderId="0" xfId="2" applyNumberFormat="1" applyFont="1" applyFill="1" applyAlignment="1">
      <alignment horizontal="justify"/>
    </xf>
    <xf numFmtId="3" fontId="72" fillId="12" borderId="3" xfId="20" applyNumberFormat="1" applyFont="1" applyFill="1" applyBorder="1" applyAlignment="1">
      <alignment horizontal="right" vertical="center"/>
    </xf>
    <xf numFmtId="172" fontId="105" fillId="4" borderId="3" xfId="2" applyNumberFormat="1" applyFont="1" applyFill="1" applyBorder="1" applyAlignment="1">
      <alignment horizontal="justify"/>
    </xf>
    <xf numFmtId="172" fontId="72" fillId="5" borderId="3" xfId="2" applyNumberFormat="1" applyFont="1" applyFill="1" applyBorder="1" applyAlignment="1">
      <alignment horizontal="justify"/>
    </xf>
    <xf numFmtId="172" fontId="29" fillId="5" borderId="0" xfId="0" applyNumberFormat="1" applyFont="1" applyFill="1"/>
    <xf numFmtId="3" fontId="72" fillId="5" borderId="3" xfId="20" applyNumberFormat="1" applyFont="1" applyFill="1" applyBorder="1" applyAlignment="1">
      <alignment horizontal="right"/>
    </xf>
    <xf numFmtId="172" fontId="53" fillId="12" borderId="3" xfId="2" applyNumberFormat="1" applyFont="1" applyFill="1" applyBorder="1" applyAlignment="1">
      <alignment horizontal="justify"/>
    </xf>
    <xf numFmtId="0" fontId="53" fillId="12" borderId="0" xfId="0" applyFont="1" applyFill="1" applyAlignment="1">
      <alignment horizontal="justify"/>
    </xf>
    <xf numFmtId="172" fontId="106" fillId="0" borderId="0" xfId="2" applyNumberFormat="1" applyFont="1"/>
    <xf numFmtId="172" fontId="109" fillId="0" borderId="0" xfId="2" applyNumberFormat="1" applyFont="1"/>
    <xf numFmtId="0" fontId="109" fillId="0" borderId="0" xfId="0" applyFont="1"/>
    <xf numFmtId="172" fontId="55" fillId="0" borderId="3" xfId="2" applyNumberFormat="1" applyFont="1" applyBorder="1"/>
    <xf numFmtId="172" fontId="110" fillId="0" borderId="3" xfId="2" applyNumberFormat="1" applyFont="1" applyBorder="1"/>
    <xf numFmtId="0" fontId="110" fillId="0" borderId="3" xfId="0" applyFont="1" applyBorder="1"/>
    <xf numFmtId="0" fontId="110" fillId="0" borderId="0" xfId="0" applyFont="1"/>
    <xf numFmtId="0" fontId="105" fillId="4" borderId="3" xfId="0" applyFont="1" applyFill="1" applyBorder="1" applyAlignment="1">
      <alignment horizontal="justify"/>
    </xf>
    <xf numFmtId="0" fontId="105" fillId="4" borderId="0" xfId="0" applyFont="1" applyFill="1" applyAlignment="1">
      <alignment horizontal="justify"/>
    </xf>
    <xf numFmtId="172" fontId="105" fillId="4" borderId="3" xfId="0" applyNumberFormat="1" applyFont="1" applyFill="1" applyBorder="1" applyAlignment="1">
      <alignment horizontal="justify"/>
    </xf>
    <xf numFmtId="172" fontId="105" fillId="4" borderId="0" xfId="0" applyNumberFormat="1" applyFont="1" applyFill="1" applyAlignment="1">
      <alignment horizontal="justify"/>
    </xf>
    <xf numFmtId="0" fontId="107" fillId="4" borderId="3" xfId="0" applyFont="1" applyFill="1" applyBorder="1" applyAlignment="1">
      <alignment horizontal="justify"/>
    </xf>
    <xf numFmtId="0" fontId="107" fillId="4" borderId="0" xfId="0" applyFont="1" applyFill="1" applyAlignment="1">
      <alignment horizontal="justify"/>
    </xf>
    <xf numFmtId="172" fontId="111" fillId="0" borderId="0" xfId="2" applyNumberFormat="1" applyFont="1"/>
    <xf numFmtId="0" fontId="111" fillId="0" borderId="0" xfId="0" applyFont="1"/>
    <xf numFmtId="0" fontId="116" fillId="4" borderId="0" xfId="0" applyFont="1" applyFill="1"/>
    <xf numFmtId="0" fontId="88" fillId="4" borderId="5" xfId="0" applyFont="1" applyFill="1" applyBorder="1" applyAlignment="1">
      <alignment horizontal="center" vertical="center" wrapText="1"/>
    </xf>
    <xf numFmtId="0" fontId="61" fillId="4" borderId="5" xfId="0" applyFont="1" applyFill="1" applyBorder="1" applyAlignment="1">
      <alignment vertical="center" wrapText="1"/>
    </xf>
    <xf numFmtId="0" fontId="44" fillId="4" borderId="6" xfId="0" applyFont="1" applyFill="1" applyBorder="1" applyAlignment="1">
      <alignment horizontal="justify" vertical="center" wrapText="1"/>
    </xf>
    <xf numFmtId="0" fontId="88" fillId="4" borderId="5" xfId="0" applyFont="1" applyFill="1" applyBorder="1" applyAlignment="1">
      <alignment horizontal="justify" vertical="center" wrapText="1"/>
    </xf>
    <xf numFmtId="178" fontId="115" fillId="4" borderId="5" xfId="2" applyNumberFormat="1" applyFont="1" applyFill="1" applyBorder="1" applyAlignment="1">
      <alignment horizontal="center" vertical="center" wrapText="1"/>
    </xf>
    <xf numFmtId="179" fontId="115" fillId="4" borderId="5" xfId="2" applyNumberFormat="1" applyFont="1" applyFill="1" applyBorder="1" applyAlignment="1">
      <alignment horizontal="center" vertical="center" wrapText="1"/>
    </xf>
    <xf numFmtId="170" fontId="115" fillId="4" borderId="5" xfId="2" applyFont="1" applyFill="1" applyBorder="1" applyAlignment="1">
      <alignment horizontal="center" vertical="center" wrapText="1"/>
    </xf>
    <xf numFmtId="0" fontId="87" fillId="4" borderId="5" xfId="0" applyFont="1" applyFill="1" applyBorder="1" applyAlignment="1">
      <alignment horizontal="justify" vertical="center" wrapText="1"/>
    </xf>
    <xf numFmtId="186" fontId="88" fillId="4" borderId="0" xfId="0" applyNumberFormat="1" applyFont="1" applyFill="1"/>
    <xf numFmtId="182" fontId="87" fillId="4" borderId="5" xfId="0" applyNumberFormat="1" applyFont="1" applyFill="1" applyBorder="1" applyAlignment="1">
      <alignment vertical="center" wrapText="1"/>
    </xf>
    <xf numFmtId="186" fontId="115" fillId="4" borderId="5" xfId="2" applyNumberFormat="1" applyFont="1" applyFill="1" applyBorder="1" applyAlignment="1">
      <alignment horizontal="center" vertical="center" wrapText="1"/>
    </xf>
    <xf numFmtId="179" fontId="115" fillId="4" borderId="5" xfId="2" applyNumberFormat="1" applyFont="1" applyFill="1" applyBorder="1" applyAlignment="1">
      <alignment vertical="center"/>
    </xf>
    <xf numFmtId="172" fontId="97" fillId="4" borderId="0" xfId="0" applyNumberFormat="1" applyFont="1" applyFill="1" applyAlignment="1">
      <alignment horizontal="justify"/>
    </xf>
    <xf numFmtId="0" fontId="60" fillId="4" borderId="5" xfId="0" applyFont="1" applyFill="1" applyBorder="1" applyAlignment="1">
      <alignment horizontal="center" vertical="center" wrapText="1"/>
    </xf>
    <xf numFmtId="0" fontId="117" fillId="4" borderId="5" xfId="0" applyFont="1" applyFill="1" applyBorder="1" applyAlignment="1">
      <alignment vertical="center" wrapText="1"/>
    </xf>
    <xf numFmtId="178" fontId="62" fillId="4" borderId="5" xfId="2" applyNumberFormat="1" applyFont="1" applyFill="1" applyBorder="1" applyAlignment="1">
      <alignment horizontal="center" vertical="center" wrapText="1"/>
    </xf>
    <xf numFmtId="170" fontId="62" fillId="4" borderId="6" xfId="2" applyFont="1" applyFill="1" applyBorder="1" applyAlignment="1">
      <alignment horizontal="center" vertical="center" wrapText="1"/>
    </xf>
    <xf numFmtId="0" fontId="116" fillId="4" borderId="7" xfId="0" applyFont="1" applyFill="1" applyBorder="1" applyAlignment="1">
      <alignment horizontal="center" vertical="center" wrapText="1"/>
    </xf>
    <xf numFmtId="0" fontId="116" fillId="4" borderId="7" xfId="0" applyFont="1" applyFill="1" applyBorder="1" applyAlignment="1">
      <alignment horizontal="justify" vertical="center" wrapText="1"/>
    </xf>
    <xf numFmtId="179" fontId="114" fillId="4" borderId="7" xfId="2" applyNumberFormat="1" applyFont="1" applyFill="1" applyBorder="1" applyAlignment="1">
      <alignment horizontal="center" vertical="center" wrapText="1"/>
    </xf>
    <xf numFmtId="179" fontId="59" fillId="4" borderId="5" xfId="2" applyNumberFormat="1" applyFont="1" applyFill="1" applyBorder="1" applyAlignment="1">
      <alignment horizontal="center" vertical="center" wrapText="1"/>
    </xf>
    <xf numFmtId="182" fontId="44" fillId="4" borderId="5" xfId="0" applyNumberFormat="1" applyFont="1" applyFill="1" applyBorder="1" applyAlignment="1">
      <alignment vertical="center" wrapText="1"/>
    </xf>
    <xf numFmtId="170" fontId="59" fillId="4" borderId="5" xfId="2" applyFont="1" applyFill="1" applyBorder="1" applyAlignment="1">
      <alignment horizontal="center" vertical="center" wrapText="1"/>
    </xf>
    <xf numFmtId="0" fontId="55" fillId="4" borderId="3" xfId="0" applyFont="1" applyFill="1" applyBorder="1" applyAlignment="1">
      <alignment horizontal="center" vertical="center" wrapText="1"/>
    </xf>
    <xf numFmtId="0" fontId="62" fillId="4" borderId="3" xfId="0" applyFont="1" applyFill="1" applyBorder="1" applyAlignment="1">
      <alignment horizontal="center" vertical="center" wrapText="1"/>
    </xf>
    <xf numFmtId="0" fontId="60" fillId="4" borderId="3" xfId="0" applyFont="1" applyFill="1" applyBorder="1" applyAlignment="1">
      <alignment horizontal="center" vertical="center" wrapText="1"/>
    </xf>
    <xf numFmtId="0" fontId="47" fillId="4" borderId="3" xfId="0" applyFont="1" applyFill="1" applyBorder="1" applyAlignment="1">
      <alignment horizontal="center" vertical="center" wrapText="1"/>
    </xf>
    <xf numFmtId="0" fontId="70" fillId="4" borderId="0" xfId="0" applyFont="1" applyFill="1" applyAlignment="1">
      <alignment horizontal="center" vertical="center" wrapText="1"/>
    </xf>
    <xf numFmtId="0" fontId="56" fillId="4" borderId="0" xfId="0" applyFont="1" applyFill="1"/>
    <xf numFmtId="0" fontId="39" fillId="4" borderId="0" xfId="0" applyFont="1" applyFill="1"/>
    <xf numFmtId="0" fontId="41" fillId="4" borderId="0" xfId="0" applyFont="1" applyFill="1"/>
    <xf numFmtId="0" fontId="56" fillId="4" borderId="0" xfId="0" applyFont="1" applyFill="1" applyAlignment="1">
      <alignment horizontal="center" wrapText="1"/>
    </xf>
    <xf numFmtId="0" fontId="56" fillId="4" borderId="0" xfId="0" applyFont="1" applyFill="1" applyAlignment="1">
      <alignment wrapText="1"/>
    </xf>
    <xf numFmtId="0" fontId="3" fillId="4" borderId="0" xfId="0" applyFont="1" applyFill="1" applyAlignment="1">
      <alignment vertical="center" wrapText="1"/>
    </xf>
    <xf numFmtId="174" fontId="51" fillId="4" borderId="0" xfId="2" applyNumberFormat="1" applyFont="1" applyFill="1"/>
    <xf numFmtId="172" fontId="51" fillId="4" borderId="0" xfId="0" applyNumberFormat="1" applyFont="1" applyFill="1"/>
    <xf numFmtId="186" fontId="54" fillId="4" borderId="0" xfId="0" applyNumberFormat="1" applyFont="1" applyFill="1"/>
    <xf numFmtId="0" fontId="54" fillId="4" borderId="5" xfId="0" applyFont="1" applyFill="1" applyBorder="1" applyAlignment="1">
      <alignment horizontal="justify" vertical="center" wrapText="1"/>
    </xf>
    <xf numFmtId="178" fontId="39" fillId="4" borderId="5" xfId="2" applyNumberFormat="1" applyFont="1" applyFill="1" applyBorder="1" applyAlignment="1">
      <alignment horizontal="center" vertical="center" wrapText="1"/>
    </xf>
    <xf numFmtId="186" fontId="39" fillId="4" borderId="5" xfId="2" applyNumberFormat="1" applyFont="1" applyFill="1" applyBorder="1" applyAlignment="1">
      <alignment horizontal="center" vertical="center" wrapText="1"/>
    </xf>
    <xf numFmtId="170" fontId="39" fillId="4" borderId="6" xfId="2" applyFont="1" applyFill="1" applyBorder="1" applyAlignment="1">
      <alignment horizontal="center" vertical="center" wrapText="1"/>
    </xf>
    <xf numFmtId="3" fontId="51" fillId="4" borderId="0" xfId="0" applyNumberFormat="1" applyFont="1" applyFill="1" applyAlignment="1">
      <alignment horizontal="center"/>
    </xf>
    <xf numFmtId="172" fontId="39" fillId="4" borderId="0" xfId="2" applyNumberFormat="1" applyFont="1" applyFill="1"/>
    <xf numFmtId="3" fontId="73" fillId="4" borderId="0" xfId="0" applyNumberFormat="1" applyFont="1" applyFill="1" applyAlignment="1">
      <alignment horizontal="center" vertical="center"/>
    </xf>
    <xf numFmtId="0" fontId="73" fillId="4" borderId="0" xfId="0" applyFont="1" applyFill="1" applyAlignment="1">
      <alignment vertical="center"/>
    </xf>
    <xf numFmtId="3" fontId="54" fillId="4" borderId="0" xfId="0" applyNumberFormat="1" applyFont="1" applyFill="1" applyAlignment="1">
      <alignment horizontal="center"/>
    </xf>
    <xf numFmtId="0" fontId="60" fillId="4" borderId="5" xfId="0" applyFont="1" applyFill="1" applyBorder="1" applyAlignment="1">
      <alignment vertical="center" wrapText="1"/>
    </xf>
    <xf numFmtId="0" fontId="49" fillId="4" borderId="0" xfId="0" applyFont="1" applyFill="1" applyAlignment="1">
      <alignment vertical="center" wrapText="1"/>
    </xf>
    <xf numFmtId="178" fontId="23" fillId="4" borderId="0" xfId="0" applyNumberFormat="1" applyFont="1" applyFill="1"/>
    <xf numFmtId="0" fontId="51" fillId="4" borderId="6" xfId="0" applyFont="1" applyFill="1" applyBorder="1" applyAlignment="1">
      <alignment horizontal="justify" vertical="center" wrapText="1"/>
    </xf>
    <xf numFmtId="0" fontId="51" fillId="4" borderId="0" xfId="0" applyFont="1" applyFill="1" applyAlignment="1">
      <alignment horizontal="center" vertical="center" wrapText="1"/>
    </xf>
    <xf numFmtId="0" fontId="51" fillId="4" borderId="4" xfId="0" applyFont="1" applyFill="1" applyBorder="1" applyAlignment="1">
      <alignment horizontal="center" vertical="center" wrapText="1"/>
    </xf>
    <xf numFmtId="172" fontId="46" fillId="4" borderId="0" xfId="2" applyNumberFormat="1" applyFont="1" applyFill="1"/>
    <xf numFmtId="172" fontId="49" fillId="4" borderId="0" xfId="2" applyNumberFormat="1" applyFont="1" applyFill="1" applyAlignment="1">
      <alignment vertical="center" wrapText="1"/>
    </xf>
    <xf numFmtId="0" fontId="55" fillId="4" borderId="5" xfId="0" applyFont="1" applyFill="1" applyBorder="1" applyAlignment="1">
      <alignment horizontal="center" vertical="center"/>
    </xf>
    <xf numFmtId="0" fontId="51" fillId="4" borderId="5" xfId="0" applyFont="1" applyFill="1" applyBorder="1" applyAlignment="1">
      <alignment horizontal="center" vertical="center"/>
    </xf>
    <xf numFmtId="172" fontId="51" fillId="4" borderId="5" xfId="2" applyNumberFormat="1" applyFont="1" applyFill="1" applyBorder="1" applyAlignment="1">
      <alignment horizontal="right" vertical="center"/>
    </xf>
    <xf numFmtId="0" fontId="46" fillId="4" borderId="0" xfId="0" applyFont="1" applyFill="1" applyAlignment="1">
      <alignment horizontal="center" vertical="center" wrapText="1"/>
    </xf>
    <xf numFmtId="170" fontId="41" fillId="4" borderId="0" xfId="2" applyFont="1" applyFill="1"/>
    <xf numFmtId="0" fontId="7" fillId="4" borderId="5" xfId="0" applyFont="1" applyFill="1" applyBorder="1" applyAlignment="1">
      <alignment horizontal="center" vertical="center" wrapText="1"/>
    </xf>
    <xf numFmtId="0" fontId="7" fillId="4" borderId="5" xfId="0" applyFont="1" applyFill="1" applyBorder="1" applyAlignment="1">
      <alignment horizontal="left" vertical="center" wrapText="1"/>
    </xf>
    <xf numFmtId="0" fontId="50" fillId="4" borderId="0" xfId="0" applyFont="1" applyFill="1" applyAlignment="1">
      <alignment horizontal="center"/>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0" fillId="4" borderId="0" xfId="0" applyFont="1" applyFill="1" applyAlignment="1">
      <alignment vertical="center" wrapText="1"/>
    </xf>
    <xf numFmtId="0" fontId="88" fillId="4" borderId="5" xfId="0" applyFont="1" applyFill="1" applyBorder="1" applyAlignment="1">
      <alignment vertical="center" wrapText="1"/>
    </xf>
    <xf numFmtId="172" fontId="44" fillId="4" borderId="5" xfId="2" applyNumberFormat="1" applyFont="1" applyFill="1" applyBorder="1" applyAlignment="1">
      <alignment horizontal="justify" vertical="center" wrapText="1"/>
    </xf>
    <xf numFmtId="0" fontId="30" fillId="0" borderId="4" xfId="0" applyFont="1" applyBorder="1" applyAlignment="1">
      <alignment horizontal="center" vertical="center" wrapText="1"/>
    </xf>
    <xf numFmtId="0" fontId="30" fillId="0" borderId="4" xfId="0" applyFont="1" applyBorder="1" applyAlignment="1">
      <alignment vertical="center" wrapText="1"/>
    </xf>
    <xf numFmtId="0" fontId="30" fillId="0" borderId="5" xfId="0" applyFont="1" applyBorder="1" applyAlignment="1">
      <alignment horizontal="center" vertical="center" wrapText="1"/>
    </xf>
    <xf numFmtId="0" fontId="30" fillId="0" borderId="5" xfId="0" applyFont="1" applyBorder="1" applyAlignment="1">
      <alignment vertical="center" wrapText="1"/>
    </xf>
    <xf numFmtId="0" fontId="23" fillId="4" borderId="21" xfId="0" applyFont="1" applyFill="1" applyBorder="1" applyAlignment="1">
      <alignment horizontal="center" vertical="center" wrapText="1"/>
    </xf>
    <xf numFmtId="0" fontId="19" fillId="0" borderId="0" xfId="0" applyFont="1"/>
    <xf numFmtId="0" fontId="23" fillId="0" borderId="0" xfId="0" applyFont="1" applyAlignment="1">
      <alignment horizontal="right" vertical="center"/>
    </xf>
    <xf numFmtId="0" fontId="18" fillId="0" borderId="0" xfId="0" applyFont="1" applyAlignment="1">
      <alignment horizontal="centerContinuous" vertical="center" wrapText="1"/>
    </xf>
    <xf numFmtId="0" fontId="19" fillId="0" borderId="13" xfId="0" applyFont="1" applyBorder="1"/>
    <xf numFmtId="0" fontId="17" fillId="0" borderId="13" xfId="37" applyFont="1" applyBorder="1" applyAlignment="1">
      <alignment horizontal="right" vertical="center"/>
    </xf>
    <xf numFmtId="0" fontId="17" fillId="0" borderId="0" xfId="37" applyFont="1" applyAlignment="1">
      <alignment horizontal="right" vertical="center"/>
    </xf>
    <xf numFmtId="0" fontId="21" fillId="0" borderId="21" xfId="0" applyFont="1" applyBorder="1" applyAlignment="1">
      <alignment horizontal="center" vertical="center" wrapText="1"/>
    </xf>
    <xf numFmtId="0" fontId="21" fillId="0" borderId="21" xfId="37" applyFont="1" applyBorder="1" applyAlignment="1">
      <alignment horizontal="center" vertical="center" wrapText="1"/>
    </xf>
    <xf numFmtId="0" fontId="21" fillId="0" borderId="0" xfId="37" applyFont="1" applyAlignment="1">
      <alignment horizontal="center" vertical="center" wrapText="1"/>
    </xf>
    <xf numFmtId="0" fontId="20" fillId="0" borderId="0" xfId="0" applyFont="1"/>
    <xf numFmtId="3" fontId="55" fillId="0" borderId="0" xfId="0" applyNumberFormat="1" applyFont="1" applyAlignment="1">
      <alignment horizontal="right" vertical="center" wrapText="1"/>
    </xf>
    <xf numFmtId="3" fontId="20" fillId="0" borderId="0" xfId="0" applyNumberFormat="1" applyFont="1"/>
    <xf numFmtId="0" fontId="21" fillId="0" borderId="0" xfId="0" applyFont="1"/>
    <xf numFmtId="0" fontId="37" fillId="0" borderId="21" xfId="0" applyFont="1" applyBorder="1" applyAlignment="1">
      <alignment horizontal="center" vertical="center" wrapText="1"/>
    </xf>
    <xf numFmtId="195" fontId="20" fillId="0" borderId="0" xfId="2" applyNumberFormat="1" applyFont="1" applyBorder="1" applyAlignment="1">
      <alignment horizontal="right" vertical="center" wrapText="1"/>
    </xf>
    <xf numFmtId="195" fontId="51" fillId="0" borderId="0" xfId="2" applyNumberFormat="1" applyFont="1" applyBorder="1" applyAlignment="1">
      <alignment horizontal="right" vertical="center" wrapText="1"/>
    </xf>
    <xf numFmtId="195" fontId="20" fillId="0" borderId="0" xfId="0" applyNumberFormat="1" applyFont="1"/>
    <xf numFmtId="173" fontId="20" fillId="0" borderId="0" xfId="2" applyNumberFormat="1" applyFont="1" applyBorder="1" applyAlignment="1"/>
    <xf numFmtId="185" fontId="20" fillId="0" borderId="0" xfId="0" applyNumberFormat="1" applyFont="1"/>
    <xf numFmtId="3" fontId="19" fillId="0" borderId="0" xfId="0" applyNumberFormat="1" applyFont="1"/>
    <xf numFmtId="0" fontId="55" fillId="0" borderId="21" xfId="0" applyFont="1" applyBorder="1" applyAlignment="1">
      <alignment horizontal="center" vertical="center" wrapText="1"/>
    </xf>
    <xf numFmtId="0" fontId="55" fillId="0" borderId="0" xfId="0" applyFont="1" applyAlignment="1">
      <alignment horizontal="center" vertical="center" wrapText="1"/>
    </xf>
    <xf numFmtId="0" fontId="3" fillId="0" borderId="21" xfId="0" applyFont="1" applyBorder="1" applyAlignment="1">
      <alignment horizontal="center" vertical="center" wrapText="1"/>
    </xf>
    <xf numFmtId="0" fontId="3" fillId="0" borderId="21" xfId="0" applyFont="1" applyBorder="1" applyAlignment="1">
      <alignment vertical="center" wrapText="1"/>
    </xf>
    <xf numFmtId="173" fontId="3" fillId="3" borderId="21" xfId="2" applyNumberFormat="1" applyFont="1" applyFill="1" applyBorder="1" applyAlignment="1">
      <alignment horizontal="right" vertical="center" wrapText="1"/>
    </xf>
    <xf numFmtId="173" fontId="113" fillId="0" borderId="0" xfId="2" applyNumberFormat="1" applyFont="1" applyBorder="1" applyAlignment="1">
      <alignment horizontal="center"/>
    </xf>
    <xf numFmtId="0" fontId="113" fillId="0" borderId="0" xfId="0" applyFont="1" applyAlignment="1">
      <alignment horizontal="center"/>
    </xf>
    <xf numFmtId="49" fontId="113" fillId="0" borderId="21" xfId="0" applyNumberFormat="1" applyFont="1" applyBorder="1" applyAlignment="1">
      <alignment horizontal="center" vertical="center" wrapText="1"/>
    </xf>
    <xf numFmtId="0" fontId="113" fillId="3" borderId="21" xfId="0" applyFont="1" applyFill="1" applyBorder="1" applyAlignment="1">
      <alignment horizontal="left" vertical="center" wrapText="1"/>
    </xf>
    <xf numFmtId="49" fontId="113" fillId="0" borderId="21" xfId="0" applyNumberFormat="1" applyFont="1" applyBorder="1" applyAlignment="1">
      <alignment vertical="center" wrapText="1"/>
    </xf>
    <xf numFmtId="173" fontId="113" fillId="0" borderId="0" xfId="2" applyNumberFormat="1" applyFont="1" applyBorder="1"/>
    <xf numFmtId="0" fontId="113" fillId="0" borderId="0" xfId="0" applyFont="1"/>
    <xf numFmtId="0" fontId="113" fillId="0" borderId="21" xfId="0" applyFont="1" applyBorder="1" applyAlignment="1">
      <alignment horizontal="left" vertical="center" wrapText="1"/>
    </xf>
    <xf numFmtId="0" fontId="113" fillId="0" borderId="21" xfId="0" applyFont="1" applyBorder="1" applyAlignment="1">
      <alignment horizontal="center" vertical="center" wrapText="1"/>
    </xf>
    <xf numFmtId="49" fontId="3" fillId="0" borderId="21" xfId="0" applyNumberFormat="1" applyFont="1" applyBorder="1" applyAlignment="1">
      <alignment horizontal="center" vertical="center" wrapText="1"/>
    </xf>
    <xf numFmtId="49" fontId="3" fillId="0" borderId="21" xfId="0" applyNumberFormat="1" applyFont="1" applyBorder="1" applyAlignment="1">
      <alignment vertical="center" wrapText="1"/>
    </xf>
    <xf numFmtId="0" fontId="3" fillId="0" borderId="21" xfId="0" applyFont="1" applyBorder="1" applyAlignment="1">
      <alignment horizontal="left" vertical="center" wrapText="1"/>
    </xf>
    <xf numFmtId="186" fontId="113" fillId="0" borderId="0" xfId="0" applyNumberFormat="1" applyFont="1"/>
    <xf numFmtId="49" fontId="3" fillId="0" borderId="7" xfId="0" applyNumberFormat="1" applyFont="1" applyBorder="1" applyAlignment="1">
      <alignment horizontal="center" vertical="center" wrapText="1"/>
    </xf>
    <xf numFmtId="3" fontId="9" fillId="4" borderId="7" xfId="0" applyNumberFormat="1" applyFont="1" applyFill="1" applyBorder="1" applyAlignment="1">
      <alignment vertical="center" wrapText="1"/>
    </xf>
    <xf numFmtId="49" fontId="113" fillId="0" borderId="7" xfId="0" applyNumberFormat="1" applyFont="1" applyBorder="1" applyAlignment="1">
      <alignment vertical="center" wrapText="1"/>
    </xf>
    <xf numFmtId="173" fontId="113" fillId="3" borderId="7" xfId="2" applyNumberFormat="1" applyFont="1" applyFill="1" applyBorder="1" applyAlignment="1">
      <alignment horizontal="right" vertical="center" wrapText="1"/>
    </xf>
    <xf numFmtId="49" fontId="113" fillId="0" borderId="5" xfId="0" applyNumberFormat="1" applyFont="1" applyBorder="1" applyAlignment="1">
      <alignment horizontal="center" vertical="center" wrapText="1"/>
    </xf>
    <xf numFmtId="3" fontId="7" fillId="4" borderId="5" xfId="0" applyNumberFormat="1" applyFont="1" applyFill="1" applyBorder="1" applyAlignment="1">
      <alignment vertical="center" wrapText="1"/>
    </xf>
    <xf numFmtId="173" fontId="113" fillId="3" borderId="0" xfId="2" applyNumberFormat="1" applyFont="1" applyFill="1" applyBorder="1" applyAlignment="1">
      <alignment horizontal="right" vertical="center" wrapText="1"/>
    </xf>
    <xf numFmtId="49" fontId="3" fillId="0" borderId="5" xfId="0" applyNumberFormat="1" applyFont="1" applyBorder="1" applyAlignment="1">
      <alignment horizontal="center" vertical="center" wrapText="1"/>
    </xf>
    <xf numFmtId="49" fontId="3" fillId="0" borderId="5" xfId="0" applyNumberFormat="1" applyFont="1" applyBorder="1" applyAlignment="1">
      <alignment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173" fontId="3" fillId="3" borderId="5" xfId="2" applyNumberFormat="1" applyFont="1" applyFill="1" applyBorder="1" applyAlignment="1">
      <alignment horizontal="right" vertical="center" wrapText="1"/>
    </xf>
    <xf numFmtId="173" fontId="3" fillId="3" borderId="0" xfId="2" applyNumberFormat="1" applyFont="1" applyFill="1" applyBorder="1" applyAlignment="1">
      <alignment horizontal="right" vertical="center" wrapText="1"/>
    </xf>
    <xf numFmtId="173" fontId="7" fillId="4" borderId="0" xfId="2" applyNumberFormat="1" applyFont="1" applyFill="1" applyBorder="1" applyAlignment="1">
      <alignment horizontal="right" vertical="center" wrapText="1"/>
    </xf>
    <xf numFmtId="3" fontId="7" fillId="4" borderId="5" xfId="0" applyNumberFormat="1" applyFont="1" applyFill="1" applyBorder="1" applyAlignment="1">
      <alignment horizontal="left" vertical="center" wrapText="1"/>
    </xf>
    <xf numFmtId="0" fontId="62" fillId="4" borderId="5" xfId="0" applyFont="1" applyFill="1" applyBorder="1" applyAlignment="1">
      <alignment horizontal="justify" vertical="center" wrapText="1"/>
    </xf>
    <xf numFmtId="49" fontId="113" fillId="0" borderId="5" xfId="0" applyNumberFormat="1" applyFont="1" applyBorder="1" applyAlignment="1">
      <alignment vertical="center" wrapText="1"/>
    </xf>
    <xf numFmtId="0" fontId="94" fillId="4" borderId="5" xfId="0" applyFont="1" applyFill="1" applyBorder="1" applyAlignment="1">
      <alignment horizontal="justify" vertical="center" wrapText="1"/>
    </xf>
    <xf numFmtId="0" fontId="113" fillId="0" borderId="5" xfId="0" applyFont="1" applyBorder="1" applyAlignment="1">
      <alignment vertical="center"/>
    </xf>
    <xf numFmtId="183" fontId="113" fillId="0" borderId="0" xfId="0" applyNumberFormat="1" applyFont="1" applyAlignment="1">
      <alignment vertical="center"/>
    </xf>
    <xf numFmtId="0" fontId="18" fillId="0" borderId="5" xfId="0" applyFont="1" applyBorder="1" applyAlignment="1">
      <alignment horizontal="center" vertical="center" wrapText="1"/>
    </xf>
    <xf numFmtId="0" fontId="30" fillId="0" borderId="5" xfId="0" applyFont="1" applyBorder="1" applyAlignment="1">
      <alignment horizontal="left" vertical="center" wrapText="1"/>
    </xf>
    <xf numFmtId="190" fontId="18" fillId="0" borderId="0" xfId="2" applyNumberFormat="1" applyFont="1" applyBorder="1" applyAlignment="1">
      <alignment vertical="center"/>
    </xf>
    <xf numFmtId="190" fontId="18" fillId="0" borderId="0" xfId="2" applyNumberFormat="1" applyFont="1" applyBorder="1"/>
    <xf numFmtId="173" fontId="18" fillId="0" borderId="0" xfId="0" applyNumberFormat="1" applyFont="1"/>
    <xf numFmtId="0" fontId="18" fillId="0" borderId="0" xfId="0" applyFont="1"/>
    <xf numFmtId="0" fontId="113" fillId="0" borderId="5" xfId="0" applyFont="1" applyBorder="1" applyAlignment="1">
      <alignment horizontal="center" vertical="center" wrapText="1"/>
    </xf>
    <xf numFmtId="0" fontId="121" fillId="0" borderId="5" xfId="0" applyFont="1" applyBorder="1" applyAlignment="1">
      <alignment horizontal="left" vertical="center" wrapText="1"/>
    </xf>
    <xf numFmtId="190" fontId="113" fillId="0" borderId="0" xfId="2" applyNumberFormat="1" applyFont="1" applyBorder="1" applyAlignment="1">
      <alignment vertical="center"/>
    </xf>
    <xf numFmtId="190" fontId="113" fillId="0" borderId="0" xfId="2" applyNumberFormat="1" applyFont="1" applyBorder="1"/>
    <xf numFmtId="0" fontId="113" fillId="0" borderId="10" xfId="0" applyFont="1" applyBorder="1" applyAlignment="1">
      <alignment horizontal="center" vertical="center" wrapText="1"/>
    </xf>
    <xf numFmtId="0" fontId="121" fillId="0" borderId="10" xfId="0" applyFont="1" applyBorder="1" applyAlignment="1">
      <alignment horizontal="left" vertical="center" wrapText="1"/>
    </xf>
    <xf numFmtId="0" fontId="113" fillId="0" borderId="6" xfId="0" applyFont="1" applyBorder="1" applyAlignment="1">
      <alignment horizontal="center" vertical="center" wrapText="1"/>
    </xf>
    <xf numFmtId="0" fontId="121" fillId="0" borderId="6" xfId="0" applyFont="1" applyBorder="1" applyAlignment="1">
      <alignment horizontal="left" vertical="center" wrapText="1"/>
    </xf>
    <xf numFmtId="190" fontId="20" fillId="0" borderId="0" xfId="2" applyNumberFormat="1" applyFont="1" applyBorder="1"/>
    <xf numFmtId="190" fontId="19" fillId="0" borderId="0" xfId="2" applyNumberFormat="1" applyFont="1" applyBorder="1"/>
    <xf numFmtId="0" fontId="3" fillId="0" borderId="0" xfId="0" applyFont="1" applyAlignment="1">
      <alignment horizontal="right" vertical="center"/>
    </xf>
    <xf numFmtId="173" fontId="19" fillId="0" borderId="0" xfId="2" applyNumberFormat="1" applyFont="1"/>
    <xf numFmtId="0" fontId="36" fillId="0" borderId="0" xfId="37" applyFont="1" applyAlignment="1">
      <alignment horizontal="right" vertical="center"/>
    </xf>
    <xf numFmtId="173" fontId="21" fillId="0" borderId="0" xfId="2" applyNumberFormat="1" applyFont="1" applyBorder="1" applyAlignment="1"/>
    <xf numFmtId="0" fontId="21" fillId="0" borderId="4" xfId="0" applyFont="1" applyBorder="1" applyAlignment="1">
      <alignment horizontal="center" vertical="center" wrapText="1"/>
    </xf>
    <xf numFmtId="0" fontId="21" fillId="0" borderId="4" xfId="0" applyFont="1" applyBorder="1" applyAlignment="1">
      <alignment vertical="center" wrapText="1"/>
    </xf>
    <xf numFmtId="0" fontId="31" fillId="0" borderId="4" xfId="0" applyFont="1" applyBorder="1" applyAlignment="1">
      <alignment vertical="center" wrapText="1"/>
    </xf>
    <xf numFmtId="182" fontId="21" fillId="0" borderId="4" xfId="0" applyNumberFormat="1" applyFont="1" applyBorder="1" applyAlignment="1">
      <alignment horizontal="right" vertical="center" wrapText="1"/>
    </xf>
    <xf numFmtId="0" fontId="37" fillId="0" borderId="5" xfId="0" applyFont="1" applyBorder="1" applyAlignment="1">
      <alignment vertical="center" wrapText="1"/>
    </xf>
    <xf numFmtId="173" fontId="21" fillId="5" borderId="0" xfId="2" applyNumberFormat="1" applyFont="1" applyFill="1" applyBorder="1" applyAlignment="1"/>
    <xf numFmtId="175" fontId="51" fillId="0" borderId="0" xfId="2" applyNumberFormat="1" applyFont="1" applyBorder="1" applyAlignment="1"/>
    <xf numFmtId="170" fontId="20" fillId="0" borderId="0" xfId="2" applyFont="1" applyBorder="1" applyAlignment="1"/>
    <xf numFmtId="0" fontId="21" fillId="0" borderId="5" xfId="0" applyFont="1" applyBorder="1" applyAlignment="1">
      <alignment horizontal="center" vertical="center" wrapText="1"/>
    </xf>
    <xf numFmtId="0" fontId="21" fillId="0" borderId="5" xfId="0" applyFont="1" applyBorder="1" applyAlignment="1">
      <alignment vertical="center" wrapText="1"/>
    </xf>
    <xf numFmtId="0" fontId="31" fillId="0" borderId="5" xfId="0" applyFont="1" applyBorder="1" applyAlignment="1">
      <alignment vertical="center" wrapText="1"/>
    </xf>
    <xf numFmtId="182" fontId="21" fillId="0" borderId="5" xfId="2" applyNumberFormat="1" applyFont="1" applyBorder="1" applyAlignment="1">
      <alignment horizontal="right" vertical="center" wrapText="1"/>
    </xf>
    <xf numFmtId="182" fontId="21" fillId="5" borderId="5" xfId="2" applyNumberFormat="1" applyFont="1" applyFill="1" applyBorder="1" applyAlignment="1">
      <alignment horizontal="right" vertical="center" wrapText="1"/>
    </xf>
    <xf numFmtId="0" fontId="20" fillId="0" borderId="5" xfId="0" applyFont="1" applyBorder="1" applyAlignment="1">
      <alignment horizontal="center" vertical="center" wrapText="1"/>
    </xf>
    <xf numFmtId="173" fontId="20" fillId="0" borderId="0" xfId="2" applyNumberFormat="1" applyFont="1"/>
    <xf numFmtId="175" fontId="51" fillId="0" borderId="0" xfId="2" applyNumberFormat="1" applyFont="1"/>
    <xf numFmtId="175" fontId="20" fillId="0" borderId="0" xfId="0" applyNumberFormat="1" applyFont="1"/>
    <xf numFmtId="0" fontId="37" fillId="0" borderId="5" xfId="0" applyFont="1" applyBorder="1" applyAlignment="1">
      <alignment horizontal="justify" vertical="center" wrapText="1"/>
    </xf>
    <xf numFmtId="0" fontId="55" fillId="0" borderId="5" xfId="0" applyFont="1" applyBorder="1" applyAlignment="1">
      <alignment horizontal="center" vertical="center" wrapText="1"/>
    </xf>
    <xf numFmtId="0" fontId="21" fillId="4" borderId="5" xfId="0" applyFont="1" applyFill="1" applyBorder="1" applyAlignment="1">
      <alignment vertical="center" wrapText="1"/>
    </xf>
    <xf numFmtId="0" fontId="123" fillId="4" borderId="10" xfId="0" applyFont="1" applyFill="1" applyBorder="1" applyAlignment="1">
      <alignment vertical="center" wrapText="1"/>
    </xf>
    <xf numFmtId="179" fontId="21" fillId="4" borderId="5" xfId="2" applyNumberFormat="1" applyFont="1" applyFill="1" applyBorder="1" applyAlignment="1">
      <alignment horizontal="right" vertical="center" wrapText="1"/>
    </xf>
    <xf numFmtId="173" fontId="55" fillId="5" borderId="0" xfId="2" applyNumberFormat="1" applyFont="1" applyFill="1" applyBorder="1" applyAlignment="1"/>
    <xf numFmtId="179" fontId="20" fillId="0" borderId="0" xfId="0" applyNumberFormat="1" applyFont="1"/>
    <xf numFmtId="0" fontId="51" fillId="0" borderId="5" xfId="0" applyFont="1" applyBorder="1" applyAlignment="1">
      <alignment horizontal="center" vertical="center" wrapText="1"/>
    </xf>
    <xf numFmtId="179" fontId="51" fillId="4" borderId="5" xfId="2" applyNumberFormat="1" applyFont="1" applyFill="1" applyBorder="1" applyAlignment="1">
      <alignment horizontal="right" vertical="center" wrapText="1"/>
    </xf>
    <xf numFmtId="173" fontId="51" fillId="5" borderId="0" xfId="2" applyNumberFormat="1" applyFont="1" applyFill="1" applyBorder="1" applyAlignment="1"/>
    <xf numFmtId="0" fontId="21" fillId="0" borderId="5" xfId="0" applyFont="1" applyBorder="1" applyAlignment="1">
      <alignment horizontal="left" vertical="center" wrapText="1"/>
    </xf>
    <xf numFmtId="173" fontId="21" fillId="0" borderId="5" xfId="2" applyNumberFormat="1" applyFont="1" applyBorder="1" applyAlignment="1">
      <alignment horizontal="right" vertical="center" wrapText="1"/>
    </xf>
    <xf numFmtId="0" fontId="20" fillId="0" borderId="0" xfId="0" applyFont="1" applyAlignment="1">
      <alignment horizontal="center"/>
    </xf>
    <xf numFmtId="0" fontId="20" fillId="4" borderId="5" xfId="0" applyFont="1" applyFill="1" applyBorder="1" applyAlignment="1">
      <alignment vertical="center" wrapText="1"/>
    </xf>
    <xf numFmtId="0" fontId="123" fillId="4" borderId="10" xfId="0" applyFont="1" applyFill="1" applyBorder="1" applyAlignment="1">
      <alignment horizontal="justify" wrapText="1"/>
    </xf>
    <xf numFmtId="182" fontId="20" fillId="0" borderId="0" xfId="0" applyNumberFormat="1" applyFont="1"/>
    <xf numFmtId="49" fontId="20" fillId="0" borderId="5" xfId="0" applyNumberFormat="1" applyFont="1" applyBorder="1" applyAlignment="1">
      <alignment horizontal="center" vertical="center" wrapText="1"/>
    </xf>
    <xf numFmtId="173" fontId="51" fillId="0" borderId="0" xfId="2" applyNumberFormat="1" applyFont="1" applyBorder="1"/>
    <xf numFmtId="182" fontId="21" fillId="0" borderId="0" xfId="0" applyNumberFormat="1" applyFont="1"/>
    <xf numFmtId="173" fontId="20" fillId="0" borderId="0" xfId="2" applyNumberFormat="1" applyFont="1" applyBorder="1"/>
    <xf numFmtId="0" fontId="31" fillId="0" borderId="4" xfId="0" applyFont="1" applyBorder="1" applyAlignment="1">
      <alignment horizontal="left" vertical="center" wrapText="1"/>
    </xf>
    <xf numFmtId="173" fontId="19" fillId="0" borderId="0" xfId="2" applyNumberFormat="1" applyFont="1" applyBorder="1"/>
    <xf numFmtId="0" fontId="37" fillId="0" borderId="5" xfId="0" applyFont="1" applyBorder="1" applyAlignment="1">
      <alignment horizontal="left" vertical="center" wrapText="1"/>
    </xf>
    <xf numFmtId="173" fontId="19" fillId="0" borderId="0" xfId="0" applyNumberFormat="1" applyFont="1"/>
    <xf numFmtId="0" fontId="37" fillId="0" borderId="5" xfId="0" applyFont="1" applyBorder="1" applyAlignment="1">
      <alignment horizontal="center" vertical="center" wrapText="1"/>
    </xf>
    <xf numFmtId="0" fontId="37" fillId="0" borderId="10"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6" xfId="0" applyFont="1" applyBorder="1" applyAlignment="1">
      <alignment horizontal="left" vertical="center" wrapText="1"/>
    </xf>
    <xf numFmtId="0" fontId="37" fillId="0" borderId="6" xfId="0" applyFont="1" applyBorder="1" applyAlignment="1">
      <alignment horizontal="center" vertical="center" wrapText="1"/>
    </xf>
    <xf numFmtId="0" fontId="3" fillId="4" borderId="0" xfId="0" applyFont="1" applyFill="1" applyAlignment="1">
      <alignment horizontal="center"/>
    </xf>
    <xf numFmtId="0" fontId="54" fillId="4" borderId="0" xfId="0" applyFont="1" applyFill="1" applyAlignment="1">
      <alignment horizontal="right"/>
    </xf>
    <xf numFmtId="0" fontId="23" fillId="4" borderId="0" xfId="0" applyFont="1" applyFill="1" applyAlignment="1">
      <alignment horizontal="right" vertical="center"/>
    </xf>
    <xf numFmtId="0" fontId="54" fillId="4" borderId="0" xfId="0" applyFont="1" applyFill="1" applyAlignment="1">
      <alignment horizontal="center"/>
    </xf>
    <xf numFmtId="3" fontId="7" fillId="4" borderId="0" xfId="0" applyNumberFormat="1" applyFont="1" applyFill="1"/>
    <xf numFmtId="3" fontId="3" fillId="4" borderId="0" xfId="0" applyNumberFormat="1" applyFont="1" applyFill="1" applyAlignment="1">
      <alignment horizontal="right"/>
    </xf>
    <xf numFmtId="3" fontId="7" fillId="4" borderId="0" xfId="0" applyNumberFormat="1" applyFont="1" applyFill="1" applyAlignment="1">
      <alignment horizontal="right"/>
    </xf>
    <xf numFmtId="0" fontId="73" fillId="4" borderId="0" xfId="37" applyFont="1" applyFill="1" applyAlignment="1">
      <alignment horizontal="right" vertical="center"/>
    </xf>
    <xf numFmtId="0" fontId="23" fillId="4" borderId="25" xfId="0" applyFont="1" applyFill="1" applyBorder="1" applyAlignment="1">
      <alignment horizontal="center" vertical="center" wrapText="1"/>
    </xf>
    <xf numFmtId="3" fontId="23" fillId="4" borderId="25" xfId="0" applyNumberFormat="1" applyFont="1" applyFill="1" applyBorder="1" applyAlignment="1">
      <alignment horizontal="center" vertical="center" wrapText="1"/>
    </xf>
    <xf numFmtId="3" fontId="23" fillId="4" borderId="21" xfId="0" applyNumberFormat="1" applyFont="1" applyFill="1" applyBorder="1" applyAlignment="1">
      <alignment horizontal="center" vertical="center" wrapText="1"/>
    </xf>
    <xf numFmtId="3" fontId="23" fillId="4" borderId="21" xfId="0" applyNumberFormat="1" applyFont="1" applyFill="1" applyBorder="1" applyAlignment="1">
      <alignment horizontal="right" vertical="center" wrapText="1"/>
    </xf>
    <xf numFmtId="0" fontId="47" fillId="4" borderId="21" xfId="0" applyFont="1" applyFill="1" applyBorder="1" applyAlignment="1">
      <alignment horizontal="center" vertical="center" wrapText="1"/>
    </xf>
    <xf numFmtId="14" fontId="47" fillId="4" borderId="21" xfId="0" applyNumberFormat="1" applyFont="1" applyFill="1" applyBorder="1" applyAlignment="1">
      <alignment horizontal="right" vertical="center" wrapText="1"/>
    </xf>
    <xf numFmtId="175" fontId="47" fillId="4" borderId="21" xfId="0" applyNumberFormat="1" applyFont="1" applyFill="1" applyBorder="1" applyAlignment="1">
      <alignment horizontal="right" vertical="center" wrapText="1"/>
    </xf>
    <xf numFmtId="175" fontId="47" fillId="4" borderId="21" xfId="0" applyNumberFormat="1" applyFont="1" applyFill="1" applyBorder="1" applyAlignment="1">
      <alignment horizontal="center" vertical="center" wrapText="1"/>
    </xf>
    <xf numFmtId="175" fontId="47" fillId="4" borderId="21" xfId="0" applyNumberFormat="1" applyFont="1" applyFill="1" applyBorder="1" applyAlignment="1">
      <alignment horizontal="left" vertical="center" wrapText="1"/>
    </xf>
    <xf numFmtId="3" fontId="54" fillId="4" borderId="5" xfId="0" applyNumberFormat="1" applyFont="1" applyFill="1" applyBorder="1" applyAlignment="1">
      <alignment horizontal="right" vertical="center" wrapText="1"/>
    </xf>
    <xf numFmtId="0" fontId="47" fillId="4" borderId="5" xfId="0" applyFont="1" applyFill="1" applyBorder="1" applyAlignment="1">
      <alignment horizontal="center" vertical="center" wrapText="1"/>
    </xf>
    <xf numFmtId="0" fontId="47" fillId="4" borderId="5" xfId="0" applyFont="1" applyFill="1" applyBorder="1" applyAlignment="1">
      <alignment vertical="center"/>
    </xf>
    <xf numFmtId="172" fontId="54" fillId="4" borderId="5" xfId="2" applyNumberFormat="1" applyFont="1" applyFill="1" applyBorder="1" applyAlignment="1">
      <alignment horizontal="justify" vertical="center" wrapText="1"/>
    </xf>
    <xf numFmtId="175" fontId="47" fillId="4" borderId="5" xfId="0" applyNumberFormat="1" applyFont="1" applyFill="1" applyBorder="1" applyAlignment="1">
      <alignment horizontal="center" vertical="center" wrapText="1"/>
    </xf>
    <xf numFmtId="175" fontId="44" fillId="4" borderId="5" xfId="0" applyNumberFormat="1" applyFont="1" applyFill="1" applyBorder="1" applyAlignment="1">
      <alignment horizontal="right" vertical="center" wrapText="1"/>
    </xf>
    <xf numFmtId="0" fontId="44" fillId="4" borderId="5" xfId="0" applyFont="1" applyFill="1" applyBorder="1" applyAlignment="1">
      <alignment horizontal="justify" vertical="center" wrapText="1"/>
    </xf>
    <xf numFmtId="14" fontId="44" fillId="4" borderId="5" xfId="0" applyNumberFormat="1" applyFont="1" applyFill="1" applyBorder="1" applyAlignment="1">
      <alignment horizontal="center" vertical="center" wrapText="1"/>
    </xf>
    <xf numFmtId="175" fontId="44" fillId="4" borderId="5" xfId="0" applyNumberFormat="1" applyFont="1" applyFill="1" applyBorder="1" applyAlignment="1">
      <alignment horizontal="justify" vertical="center" wrapText="1"/>
    </xf>
    <xf numFmtId="3" fontId="54" fillId="4" borderId="18" xfId="0" applyNumberFormat="1" applyFont="1" applyFill="1" applyBorder="1" applyAlignment="1">
      <alignment horizontal="right" vertical="center" wrapText="1"/>
    </xf>
    <xf numFmtId="175" fontId="47" fillId="4" borderId="5" xfId="0" applyNumberFormat="1" applyFont="1" applyFill="1" applyBorder="1" applyAlignment="1">
      <alignment horizontal="left" vertical="center" wrapText="1"/>
    </xf>
    <xf numFmtId="3" fontId="73" fillId="4" borderId="18" xfId="0" applyNumberFormat="1" applyFont="1" applyFill="1" applyBorder="1" applyAlignment="1">
      <alignment horizontal="right" vertical="center" wrapText="1"/>
    </xf>
    <xf numFmtId="0" fontId="92" fillId="4" borderId="5" xfId="0" applyFont="1" applyFill="1" applyBorder="1" applyAlignment="1">
      <alignment horizontal="center" vertical="center" wrapText="1"/>
    </xf>
    <xf numFmtId="0" fontId="92" fillId="4" borderId="5" xfId="0" applyFont="1" applyFill="1" applyBorder="1" applyAlignment="1">
      <alignment vertical="center"/>
    </xf>
    <xf numFmtId="0" fontId="124" fillId="4" borderId="5" xfId="0" applyFont="1" applyFill="1" applyBorder="1" applyAlignment="1">
      <alignment horizontal="justify" vertical="center" wrapText="1"/>
    </xf>
    <xf numFmtId="172" fontId="124" fillId="4" borderId="5" xfId="2" applyNumberFormat="1" applyFont="1" applyFill="1" applyBorder="1" applyAlignment="1">
      <alignment horizontal="justify" vertical="center" wrapText="1"/>
    </xf>
    <xf numFmtId="14" fontId="124" fillId="4" borderId="5" xfId="0" applyNumberFormat="1" applyFont="1" applyFill="1" applyBorder="1" applyAlignment="1">
      <alignment horizontal="center" vertical="center" wrapText="1"/>
    </xf>
    <xf numFmtId="175" fontId="124" fillId="4" borderId="5" xfId="0" applyNumberFormat="1" applyFont="1" applyFill="1" applyBorder="1" applyAlignment="1">
      <alignment horizontal="left" vertical="center" wrapText="1"/>
    </xf>
    <xf numFmtId="175" fontId="124" fillId="4" borderId="5" xfId="0" applyNumberFormat="1" applyFont="1" applyFill="1" applyBorder="1" applyAlignment="1">
      <alignment horizontal="right" vertical="center" wrapText="1"/>
    </xf>
    <xf numFmtId="3" fontId="73" fillId="4" borderId="5" xfId="0" applyNumberFormat="1" applyFont="1" applyFill="1" applyBorder="1" applyAlignment="1">
      <alignment horizontal="right" vertical="center" wrapText="1"/>
    </xf>
    <xf numFmtId="175" fontId="44" fillId="4" borderId="5" xfId="0" applyNumberFormat="1" applyFont="1" applyFill="1" applyBorder="1" applyAlignment="1">
      <alignment horizontal="left" vertical="center" wrapText="1"/>
    </xf>
    <xf numFmtId="172" fontId="55" fillId="4" borderId="0" xfId="0" applyNumberFormat="1" applyFont="1" applyFill="1"/>
    <xf numFmtId="3" fontId="51" fillId="4" borderId="0" xfId="0" applyNumberFormat="1" applyFont="1" applyFill="1"/>
    <xf numFmtId="14" fontId="46" fillId="4" borderId="5" xfId="0" applyNumberFormat="1" applyFont="1" applyFill="1" applyBorder="1" applyAlignment="1">
      <alignment horizontal="center" vertical="center" wrapText="1"/>
    </xf>
    <xf numFmtId="172" fontId="51" fillId="4" borderId="5" xfId="2" applyNumberFormat="1" applyFont="1" applyFill="1" applyBorder="1" applyAlignment="1">
      <alignment horizontal="right" vertical="center" wrapText="1"/>
    </xf>
    <xf numFmtId="3" fontId="51" fillId="4" borderId="5" xfId="0" applyNumberFormat="1" applyFont="1" applyFill="1" applyBorder="1" applyAlignment="1">
      <alignment horizontal="right" vertical="center" wrapText="1"/>
    </xf>
    <xf numFmtId="0" fontId="51" fillId="4" borderId="5" xfId="0" applyFont="1" applyFill="1" applyBorder="1" applyAlignment="1">
      <alignment horizontal="right" vertical="center"/>
    </xf>
    <xf numFmtId="49" fontId="46" fillId="4" borderId="5" xfId="0" applyNumberFormat="1" applyFont="1" applyFill="1" applyBorder="1" applyAlignment="1">
      <alignment horizontal="center" vertical="center" wrapText="1"/>
    </xf>
    <xf numFmtId="175" fontId="46" fillId="4" borderId="5" xfId="2" applyNumberFormat="1" applyFont="1" applyFill="1" applyBorder="1" applyAlignment="1">
      <alignment horizontal="right" vertical="center" wrapText="1"/>
    </xf>
    <xf numFmtId="0" fontId="46" fillId="4" borderId="5" xfId="0" applyFont="1" applyFill="1" applyBorder="1" applyAlignment="1">
      <alignment horizontal="center" vertical="center"/>
    </xf>
    <xf numFmtId="14" fontId="46" fillId="4" borderId="5" xfId="0" applyNumberFormat="1" applyFont="1" applyFill="1" applyBorder="1" applyAlignment="1">
      <alignment horizontal="center" vertical="center"/>
    </xf>
    <xf numFmtId="0" fontId="51" fillId="4" borderId="5" xfId="0" applyFont="1" applyFill="1" applyBorder="1" applyAlignment="1">
      <alignment vertical="center"/>
    </xf>
    <xf numFmtId="0" fontId="71" fillId="4" borderId="5" xfId="0" applyFont="1" applyFill="1" applyBorder="1" applyAlignment="1">
      <alignment horizontal="justify" vertical="center" wrapText="1"/>
    </xf>
    <xf numFmtId="172" fontId="71" fillId="4" borderId="5" xfId="2" applyNumberFormat="1" applyFont="1" applyFill="1" applyBorder="1" applyAlignment="1">
      <alignment horizontal="right" vertical="center"/>
    </xf>
    <xf numFmtId="0" fontId="96" fillId="4" borderId="5" xfId="0" applyFont="1" applyFill="1" applyBorder="1" applyAlignment="1">
      <alignment horizontal="center" vertical="center"/>
    </xf>
    <xf numFmtId="14" fontId="96" fillId="4" borderId="5" xfId="0" applyNumberFormat="1" applyFont="1" applyFill="1" applyBorder="1" applyAlignment="1">
      <alignment horizontal="center" vertical="center"/>
    </xf>
    <xf numFmtId="0" fontId="96" fillId="4" borderId="5" xfId="0" applyFont="1" applyFill="1" applyBorder="1" applyAlignment="1">
      <alignment horizontal="justify" vertical="center" wrapText="1"/>
    </xf>
    <xf numFmtId="175" fontId="96" fillId="4" borderId="5" xfId="2" applyNumberFormat="1" applyFont="1" applyFill="1" applyBorder="1" applyAlignment="1">
      <alignment horizontal="right" vertical="center" wrapText="1"/>
    </xf>
    <xf numFmtId="14" fontId="96" fillId="4" borderId="5" xfId="0" applyNumberFormat="1" applyFont="1" applyFill="1" applyBorder="1" applyAlignment="1">
      <alignment horizontal="center" vertical="center" wrapText="1"/>
    </xf>
    <xf numFmtId="14" fontId="51" fillId="4" borderId="5" xfId="0" applyNumberFormat="1" applyFont="1" applyFill="1" applyBorder="1" applyAlignment="1">
      <alignment horizontal="center" vertical="center" wrapText="1"/>
    </xf>
    <xf numFmtId="3" fontId="71" fillId="4" borderId="5" xfId="0" applyNumberFormat="1" applyFont="1" applyFill="1" applyBorder="1" applyAlignment="1">
      <alignment horizontal="right" vertical="center" wrapText="1"/>
    </xf>
    <xf numFmtId="0" fontId="71" fillId="4" borderId="0" xfId="0" applyFont="1" applyFill="1"/>
    <xf numFmtId="0" fontId="71" fillId="4" borderId="5" xfId="0" applyFont="1" applyFill="1" applyBorder="1" applyAlignment="1">
      <alignment horizontal="center" vertical="center" wrapText="1"/>
    </xf>
    <xf numFmtId="14" fontId="71" fillId="4" borderId="5" xfId="0" applyNumberFormat="1" applyFont="1" applyFill="1" applyBorder="1" applyAlignment="1">
      <alignment horizontal="center" vertical="center" wrapText="1"/>
    </xf>
    <xf numFmtId="14" fontId="51" fillId="4" borderId="5" xfId="0" applyNumberFormat="1" applyFont="1" applyFill="1" applyBorder="1" applyAlignment="1">
      <alignment horizontal="center" vertical="center"/>
    </xf>
    <xf numFmtId="0" fontId="71" fillId="4" borderId="5" xfId="0" applyFont="1" applyFill="1" applyBorder="1" applyAlignment="1">
      <alignment horizontal="center" vertical="center"/>
    </xf>
    <xf numFmtId="0" fontId="71" fillId="4" borderId="5" xfId="0" applyFont="1" applyFill="1" applyBorder="1" applyAlignment="1">
      <alignment vertical="center"/>
    </xf>
    <xf numFmtId="3" fontId="71" fillId="4" borderId="5" xfId="0" applyNumberFormat="1" applyFont="1" applyFill="1" applyBorder="1" applyAlignment="1">
      <alignment horizontal="right" vertical="center"/>
    </xf>
    <xf numFmtId="14" fontId="71" fillId="4" borderId="5" xfId="0" applyNumberFormat="1" applyFont="1" applyFill="1" applyBorder="1" applyAlignment="1">
      <alignment horizontal="center" vertical="center"/>
    </xf>
    <xf numFmtId="175" fontId="71" fillId="4" borderId="5" xfId="2" applyNumberFormat="1" applyFont="1" applyFill="1" applyBorder="1" applyAlignment="1">
      <alignment horizontal="right" vertical="center"/>
    </xf>
    <xf numFmtId="175" fontId="71" fillId="4" borderId="5" xfId="0" applyNumberFormat="1" applyFont="1" applyFill="1" applyBorder="1" applyAlignment="1">
      <alignment horizontal="right" vertical="center"/>
    </xf>
    <xf numFmtId="172" fontId="71" fillId="4" borderId="5" xfId="0" applyNumberFormat="1" applyFont="1" applyFill="1" applyBorder="1" applyAlignment="1">
      <alignment horizontal="right" vertical="center"/>
    </xf>
    <xf numFmtId="0" fontId="71" fillId="4" borderId="5" xfId="0" applyFont="1" applyFill="1" applyBorder="1" applyAlignment="1">
      <alignment horizontal="right" vertical="center"/>
    </xf>
    <xf numFmtId="172" fontId="51" fillId="4" borderId="5" xfId="0" applyNumberFormat="1" applyFont="1" applyFill="1" applyBorder="1" applyAlignment="1">
      <alignment horizontal="right" vertical="center"/>
    </xf>
    <xf numFmtId="175" fontId="51" fillId="4" borderId="5" xfId="2" applyNumberFormat="1" applyFont="1" applyFill="1" applyBorder="1" applyAlignment="1">
      <alignment horizontal="right" vertical="center"/>
    </xf>
    <xf numFmtId="175" fontId="51" fillId="4" borderId="5" xfId="0" applyNumberFormat="1" applyFont="1" applyFill="1" applyBorder="1" applyAlignment="1">
      <alignment horizontal="right" vertical="center"/>
    </xf>
    <xf numFmtId="175" fontId="51" fillId="4" borderId="0" xfId="0" applyNumberFormat="1" applyFont="1" applyFill="1"/>
    <xf numFmtId="0" fontId="55" fillId="4" borderId="5" xfId="0" applyFont="1" applyFill="1" applyBorder="1" applyAlignment="1">
      <alignment vertical="center"/>
    </xf>
    <xf numFmtId="175" fontId="55" fillId="4" borderId="5" xfId="0" applyNumberFormat="1" applyFont="1" applyFill="1" applyBorder="1" applyAlignment="1">
      <alignment horizontal="right" vertical="center"/>
    </xf>
    <xf numFmtId="0" fontId="73" fillId="4" borderId="5" xfId="0" applyFont="1" applyFill="1" applyBorder="1" applyAlignment="1">
      <alignment horizontal="justify" vertical="center" wrapText="1"/>
    </xf>
    <xf numFmtId="49" fontId="71" fillId="4" borderId="5" xfId="44" applyNumberFormat="1" applyFont="1" applyFill="1" applyBorder="1" applyAlignment="1">
      <alignment vertical="center" wrapText="1"/>
    </xf>
    <xf numFmtId="49" fontId="71" fillId="4" borderId="5" xfId="44" applyNumberFormat="1" applyFont="1" applyFill="1" applyBorder="1" applyAlignment="1">
      <alignment horizontal="justify" vertical="center" wrapText="1"/>
    </xf>
    <xf numFmtId="0" fontId="125" fillId="4" borderId="5" xfId="0" applyFont="1" applyFill="1" applyBorder="1" applyAlignment="1">
      <alignment horizontal="justify" vertical="center" wrapText="1"/>
    </xf>
    <xf numFmtId="0" fontId="51" fillId="4" borderId="6" xfId="0" applyFont="1" applyFill="1" applyBorder="1" applyAlignment="1">
      <alignment horizontal="center" vertical="center"/>
    </xf>
    <xf numFmtId="175" fontId="51" fillId="4" borderId="6" xfId="2" applyNumberFormat="1" applyFont="1" applyFill="1" applyBorder="1" applyAlignment="1">
      <alignment horizontal="right" vertical="center"/>
    </xf>
    <xf numFmtId="175" fontId="51" fillId="4" borderId="6" xfId="0" applyNumberFormat="1" applyFont="1" applyFill="1" applyBorder="1" applyAlignment="1">
      <alignment horizontal="right" vertical="center"/>
    </xf>
    <xf numFmtId="0" fontId="51" fillId="4" borderId="6" xfId="0" applyFont="1" applyFill="1" applyBorder="1" applyAlignment="1">
      <alignment horizontal="right" vertical="center"/>
    </xf>
    <xf numFmtId="175" fontId="54" fillId="4" borderId="0" xfId="2" applyNumberFormat="1" applyFont="1" applyFill="1" applyAlignment="1">
      <alignment horizontal="right"/>
    </xf>
    <xf numFmtId="0" fontId="113" fillId="0" borderId="4" xfId="0" applyFont="1" applyBorder="1" applyAlignment="1">
      <alignment vertical="center" wrapText="1"/>
    </xf>
    <xf numFmtId="3" fontId="113" fillId="0" borderId="4" xfId="0" applyNumberFormat="1" applyFont="1" applyBorder="1"/>
    <xf numFmtId="3" fontId="113" fillId="0" borderId="0" xfId="0" applyNumberFormat="1" applyFont="1"/>
    <xf numFmtId="0" fontId="18" fillId="0" borderId="29" xfId="0" applyFont="1" applyBorder="1" applyAlignment="1">
      <alignment horizontal="center" vertical="center" wrapText="1"/>
    </xf>
    <xf numFmtId="0" fontId="113" fillId="0" borderId="5" xfId="0" applyFont="1" applyBorder="1" applyAlignment="1">
      <alignment vertical="center" wrapText="1"/>
    </xf>
    <xf numFmtId="0" fontId="113" fillId="0" borderId="5" xfId="0" applyFont="1" applyBorder="1"/>
    <xf numFmtId="0" fontId="121" fillId="0" borderId="5" xfId="0" applyFont="1" applyBorder="1" applyAlignment="1">
      <alignment horizontal="center" vertical="center" wrapText="1"/>
    </xf>
    <xf numFmtId="0" fontId="121" fillId="0" borderId="5" xfId="0" applyFont="1" applyBorder="1" applyAlignment="1">
      <alignment vertical="center" wrapText="1"/>
    </xf>
    <xf numFmtId="0" fontId="18" fillId="0" borderId="5" xfId="0" applyFont="1" applyBorder="1" applyAlignment="1">
      <alignment horizontal="left" vertical="center" wrapText="1"/>
    </xf>
    <xf numFmtId="0" fontId="113" fillId="0" borderId="5" xfId="0" applyFont="1" applyBorder="1" applyAlignment="1">
      <alignment horizontal="left" vertical="center" wrapText="1"/>
    </xf>
    <xf numFmtId="0" fontId="113" fillId="0" borderId="5" xfId="0" applyFont="1" applyBorder="1" applyAlignment="1">
      <alignment horizontal="justify" vertical="center" wrapText="1"/>
    </xf>
    <xf numFmtId="0" fontId="113" fillId="0" borderId="5" xfId="17" applyFont="1" applyBorder="1" applyAlignment="1">
      <alignment horizontal="left" vertical="center" wrapText="1"/>
    </xf>
    <xf numFmtId="0" fontId="113" fillId="4" borderId="5" xfId="17" applyFont="1" applyFill="1" applyBorder="1" applyAlignment="1">
      <alignment horizontal="left" vertical="center"/>
    </xf>
    <xf numFmtId="0" fontId="113" fillId="0" borderId="5" xfId="17" applyFont="1" applyBorder="1" applyAlignment="1">
      <alignment horizontal="left" vertical="center"/>
    </xf>
    <xf numFmtId="0" fontId="90" fillId="0" borderId="29" xfId="0" applyFont="1" applyBorder="1" applyAlignment="1">
      <alignment horizontal="center" vertical="center" wrapText="1"/>
    </xf>
    <xf numFmtId="0" fontId="94" fillId="0" borderId="5" xfId="0" applyFont="1" applyBorder="1" applyAlignment="1">
      <alignment horizontal="left" vertical="center" wrapText="1"/>
    </xf>
    <xf numFmtId="0" fontId="90" fillId="0" borderId="5" xfId="0" applyFont="1" applyBorder="1" applyAlignment="1">
      <alignment horizontal="center" vertical="center" wrapText="1"/>
    </xf>
    <xf numFmtId="0" fontId="94" fillId="0" borderId="5" xfId="17" applyFont="1" applyBorder="1" applyAlignment="1">
      <alignment horizontal="left" vertical="center" wrapText="1"/>
    </xf>
    <xf numFmtId="3" fontId="94" fillId="0" borderId="0" xfId="0" applyNumberFormat="1" applyFont="1"/>
    <xf numFmtId="0" fontId="90" fillId="0" borderId="0" xfId="0" applyFont="1"/>
    <xf numFmtId="0" fontId="94" fillId="0" borderId="0" xfId="0" applyFont="1"/>
    <xf numFmtId="0" fontId="94" fillId="4" borderId="5" xfId="17" applyFont="1" applyFill="1" applyBorder="1" applyAlignment="1">
      <alignment horizontal="left" vertical="center"/>
    </xf>
    <xf numFmtId="0" fontId="94" fillId="0" borderId="5" xfId="17" applyFont="1" applyBorder="1" applyAlignment="1">
      <alignment horizontal="left" vertical="center"/>
    </xf>
    <xf numFmtId="3" fontId="90" fillId="0" borderId="0" xfId="0" applyNumberFormat="1" applyFont="1"/>
    <xf numFmtId="190" fontId="18" fillId="0" borderId="0" xfId="2" applyNumberFormat="1" applyFont="1" applyBorder="1" applyAlignment="1"/>
    <xf numFmtId="3" fontId="18" fillId="0" borderId="0" xfId="0" applyNumberFormat="1" applyFont="1"/>
    <xf numFmtId="196" fontId="113" fillId="0" borderId="0" xfId="2" applyNumberFormat="1" applyFont="1" applyBorder="1" applyAlignment="1"/>
    <xf numFmtId="3" fontId="113" fillId="4" borderId="5" xfId="0" applyNumberFormat="1" applyFont="1" applyFill="1" applyBorder="1" applyAlignment="1">
      <alignment horizontal="justify" vertical="center" wrapText="1"/>
    </xf>
    <xf numFmtId="0" fontId="94" fillId="0" borderId="5" xfId="0" applyFont="1" applyBorder="1" applyAlignment="1">
      <alignment horizontal="justify" vertical="center" wrapText="1"/>
    </xf>
    <xf numFmtId="3" fontId="113" fillId="0" borderId="5" xfId="15" applyNumberFormat="1" applyFont="1" applyBorder="1" applyAlignment="1">
      <alignment horizontal="justify" vertical="center" wrapText="1"/>
    </xf>
    <xf numFmtId="0" fontId="3" fillId="0" borderId="28" xfId="0" applyFont="1" applyBorder="1" applyAlignment="1">
      <alignment horizontal="center" vertical="center" wrapText="1"/>
    </xf>
    <xf numFmtId="0" fontId="27" fillId="0" borderId="5" xfId="0" applyFont="1" applyBorder="1" applyAlignment="1">
      <alignment horizontal="left" vertical="center" wrapText="1"/>
    </xf>
    <xf numFmtId="0" fontId="3" fillId="0" borderId="0" xfId="0" applyFont="1"/>
    <xf numFmtId="0" fontId="113" fillId="0" borderId="30" xfId="0" applyFont="1" applyBorder="1" applyAlignment="1">
      <alignment horizontal="center" vertical="center" wrapText="1"/>
    </xf>
    <xf numFmtId="0" fontId="113" fillId="0" borderId="3" xfId="0" applyFont="1" applyBorder="1" applyAlignment="1">
      <alignment horizontal="center" vertical="center" wrapText="1"/>
    </xf>
    <xf numFmtId="0" fontId="121" fillId="0" borderId="3" xfId="0" applyFont="1" applyBorder="1" applyAlignment="1">
      <alignment horizontal="left" vertical="center" wrapText="1"/>
    </xf>
    <xf numFmtId="0" fontId="113" fillId="0" borderId="3" xfId="0" applyFont="1" applyBorder="1"/>
    <xf numFmtId="0" fontId="113" fillId="0" borderId="6" xfId="0" applyFont="1" applyBorder="1"/>
    <xf numFmtId="186" fontId="19" fillId="0" borderId="0" xfId="0" applyNumberFormat="1" applyFont="1"/>
    <xf numFmtId="0" fontId="10" fillId="0" borderId="25" xfId="0" applyFont="1" applyBorder="1" applyAlignment="1">
      <alignment horizontal="center" vertical="center" wrapText="1"/>
    </xf>
    <xf numFmtId="0" fontId="126" fillId="0" borderId="25" xfId="0" applyFont="1" applyBorder="1" applyAlignment="1">
      <alignment vertical="center" wrapText="1"/>
    </xf>
    <xf numFmtId="173" fontId="10" fillId="0" borderId="25" xfId="2" applyNumberFormat="1" applyFont="1" applyBorder="1" applyAlignment="1">
      <alignment horizontal="right" vertical="center" wrapText="1"/>
    </xf>
    <xf numFmtId="0" fontId="13" fillId="0" borderId="21" xfId="0" applyFont="1" applyBorder="1" applyAlignment="1">
      <alignment horizontal="center" vertical="center" wrapText="1"/>
    </xf>
    <xf numFmtId="0" fontId="13" fillId="0" borderId="21" xfId="0" applyFont="1" applyBorder="1" applyAlignment="1">
      <alignment vertical="center" wrapText="1"/>
    </xf>
    <xf numFmtId="0" fontId="84" fillId="0" borderId="21" xfId="0" applyFont="1" applyBorder="1" applyAlignment="1">
      <alignment horizontal="center" vertical="center" wrapText="1"/>
    </xf>
    <xf numFmtId="173" fontId="13" fillId="0" borderId="21" xfId="2" applyNumberFormat="1" applyFont="1" applyBorder="1" applyAlignment="1">
      <alignment horizontal="right" vertical="center" wrapText="1"/>
    </xf>
    <xf numFmtId="0" fontId="13" fillId="0" borderId="21" xfId="0" applyFont="1" applyBorder="1"/>
    <xf numFmtId="172" fontId="19" fillId="0" borderId="0" xfId="2" applyNumberFormat="1" applyFont="1" applyBorder="1"/>
    <xf numFmtId="174" fontId="121" fillId="0" borderId="5" xfId="2" applyNumberFormat="1" applyFont="1" applyBorder="1" applyAlignment="1">
      <alignment horizontal="right" vertical="center" wrapText="1"/>
    </xf>
    <xf numFmtId="174" fontId="121" fillId="0" borderId="10" xfId="2" applyNumberFormat="1" applyFont="1" applyBorder="1" applyAlignment="1">
      <alignment horizontal="right" vertical="center" wrapText="1"/>
    </xf>
    <xf numFmtId="174" fontId="121" fillId="0" borderId="6" xfId="2" applyNumberFormat="1" applyFont="1" applyBorder="1" applyAlignment="1">
      <alignment horizontal="right" vertical="center" wrapText="1"/>
    </xf>
    <xf numFmtId="179" fontId="121" fillId="0" borderId="5" xfId="2" applyNumberFormat="1" applyFont="1" applyBorder="1" applyAlignment="1">
      <alignment horizontal="right" vertical="center" wrapText="1"/>
    </xf>
    <xf numFmtId="179" fontId="121" fillId="0" borderId="6" xfId="2" applyNumberFormat="1" applyFont="1" applyBorder="1" applyAlignment="1">
      <alignment horizontal="right" vertical="center" wrapText="1"/>
    </xf>
    <xf numFmtId="179" fontId="113" fillId="0" borderId="0" xfId="2" applyNumberFormat="1" applyFont="1"/>
    <xf numFmtId="197" fontId="113" fillId="0" borderId="0" xfId="0" applyNumberFormat="1" applyFont="1"/>
    <xf numFmtId="198" fontId="113" fillId="0" borderId="0" xfId="0" applyNumberFormat="1" applyFont="1"/>
    <xf numFmtId="186" fontId="113" fillId="5" borderId="0" xfId="0" applyNumberFormat="1" applyFont="1" applyFill="1"/>
    <xf numFmtId="180" fontId="113" fillId="0" borderId="0" xfId="2" applyNumberFormat="1" applyFont="1" applyAlignment="1">
      <alignment horizontal="center"/>
    </xf>
    <xf numFmtId="194" fontId="113" fillId="0" borderId="0" xfId="0" applyNumberFormat="1" applyFont="1" applyAlignment="1">
      <alignment horizontal="center"/>
    </xf>
    <xf numFmtId="174" fontId="3" fillId="3" borderId="21" xfId="2" applyNumberFormat="1" applyFont="1" applyFill="1" applyBorder="1" applyAlignment="1">
      <alignment horizontal="right" vertical="center" wrapText="1"/>
    </xf>
    <xf numFmtId="174" fontId="113" fillId="0" borderId="21" xfId="2" applyNumberFormat="1" applyFont="1" applyBorder="1" applyAlignment="1">
      <alignment horizontal="center"/>
    </xf>
    <xf numFmtId="174" fontId="113" fillId="3" borderId="21" xfId="2" applyNumberFormat="1" applyFont="1" applyFill="1" applyBorder="1" applyAlignment="1">
      <alignment horizontal="right" vertical="center" wrapText="1"/>
    </xf>
    <xf numFmtId="174" fontId="113" fillId="0" borderId="21" xfId="2" applyNumberFormat="1" applyFont="1" applyBorder="1"/>
    <xf numFmtId="174" fontId="113" fillId="3" borderId="7" xfId="2" applyNumberFormat="1" applyFont="1" applyFill="1" applyBorder="1" applyAlignment="1">
      <alignment horizontal="right" vertical="center" wrapText="1"/>
    </xf>
    <xf numFmtId="174" fontId="3" fillId="3" borderId="5" xfId="2" applyNumberFormat="1" applyFont="1" applyFill="1" applyBorder="1" applyAlignment="1">
      <alignment horizontal="right" vertical="center" wrapText="1"/>
    </xf>
    <xf numFmtId="174" fontId="7" fillId="4" borderId="5" xfId="2" applyNumberFormat="1" applyFont="1" applyFill="1" applyBorder="1" applyAlignment="1">
      <alignment horizontal="right" vertical="center" wrapText="1"/>
    </xf>
    <xf numFmtId="174" fontId="113" fillId="0" borderId="5" xfId="2" applyNumberFormat="1" applyFont="1" applyBorder="1" applyAlignment="1">
      <alignment vertical="center"/>
    </xf>
    <xf numFmtId="174" fontId="30" fillId="0" borderId="5" xfId="2" applyNumberFormat="1" applyFont="1" applyBorder="1" applyAlignment="1">
      <alignment horizontal="right" vertical="center" wrapText="1"/>
    </xf>
    <xf numFmtId="174" fontId="18" fillId="0" borderId="5" xfId="2" applyNumberFormat="1" applyFont="1" applyBorder="1" applyAlignment="1">
      <alignment vertical="center"/>
    </xf>
    <xf numFmtId="174" fontId="113" fillId="0" borderId="10" xfId="2" applyNumberFormat="1" applyFont="1" applyBorder="1" applyAlignment="1">
      <alignment vertical="center"/>
    </xf>
    <xf numFmtId="174" fontId="113" fillId="0" borderId="6" xfId="2" applyNumberFormat="1" applyFont="1" applyBorder="1" applyAlignment="1">
      <alignment vertical="center"/>
    </xf>
    <xf numFmtId="179" fontId="21" fillId="0" borderId="4" xfId="2" applyNumberFormat="1" applyFont="1" applyBorder="1" applyAlignment="1">
      <alignment horizontal="right" vertical="center" wrapText="1"/>
    </xf>
    <xf numFmtId="179" fontId="20" fillId="0" borderId="5" xfId="2" applyNumberFormat="1" applyFont="1" applyBorder="1" applyAlignment="1">
      <alignment horizontal="right" vertical="center" wrapText="1"/>
    </xf>
    <xf numFmtId="179" fontId="122" fillId="0" borderId="5" xfId="2" applyNumberFormat="1" applyFont="1" applyBorder="1" applyAlignment="1">
      <alignment horizontal="right" vertical="center" wrapText="1"/>
    </xf>
    <xf numFmtId="179" fontId="21" fillId="0" borderId="5" xfId="2" applyNumberFormat="1" applyFont="1" applyBorder="1" applyAlignment="1">
      <alignment horizontal="right" vertical="center" wrapText="1"/>
    </xf>
    <xf numFmtId="179" fontId="20" fillId="3" borderId="5" xfId="2" applyNumberFormat="1" applyFont="1" applyFill="1" applyBorder="1" applyAlignment="1">
      <alignment horizontal="left" vertical="center" wrapText="1"/>
    </xf>
    <xf numFmtId="179" fontId="55" fillId="0" borderId="5" xfId="2" applyNumberFormat="1" applyFont="1" applyBorder="1" applyAlignment="1">
      <alignment horizontal="right" vertical="center" wrapText="1"/>
    </xf>
    <xf numFmtId="179" fontId="51" fillId="0" borderId="5" xfId="2" applyNumberFormat="1" applyFont="1" applyBorder="1" applyAlignment="1">
      <alignment horizontal="right" vertical="center" wrapText="1"/>
    </xf>
    <xf numFmtId="179" fontId="20" fillId="3" borderId="5" xfId="2" applyNumberFormat="1" applyFont="1" applyFill="1" applyBorder="1" applyAlignment="1">
      <alignment horizontal="right" vertical="center" wrapText="1"/>
    </xf>
    <xf numFmtId="179" fontId="31" fillId="0" borderId="4" xfId="2" applyNumberFormat="1" applyFont="1" applyBorder="1" applyAlignment="1">
      <alignment horizontal="right" vertical="center" wrapText="1"/>
    </xf>
    <xf numFmtId="179" fontId="37" fillId="0" borderId="5" xfId="2" applyNumberFormat="1" applyFont="1" applyBorder="1" applyAlignment="1">
      <alignment horizontal="right" vertical="center" wrapText="1"/>
    </xf>
    <xf numFmtId="179" fontId="20" fillId="0" borderId="10" xfId="2" applyNumberFormat="1" applyFont="1" applyBorder="1" applyAlignment="1">
      <alignment horizontal="right" vertical="center" wrapText="1"/>
    </xf>
    <xf numFmtId="179" fontId="37" fillId="0" borderId="10" xfId="2" applyNumberFormat="1" applyFont="1" applyBorder="1" applyAlignment="1">
      <alignment horizontal="right" vertical="center" wrapText="1"/>
    </xf>
    <xf numFmtId="179" fontId="20" fillId="0" borderId="6" xfId="2" applyNumberFormat="1" applyFont="1" applyBorder="1" applyAlignment="1">
      <alignment horizontal="right" vertical="center" wrapText="1"/>
    </xf>
    <xf numFmtId="179" fontId="37" fillId="0" borderId="6" xfId="2" applyNumberFormat="1" applyFont="1" applyBorder="1" applyAlignment="1">
      <alignment horizontal="right" vertical="center" wrapText="1"/>
    </xf>
    <xf numFmtId="0" fontId="20" fillId="0" borderId="10" xfId="0" applyFont="1" applyBorder="1" applyAlignment="1">
      <alignment vertical="center" wrapText="1"/>
    </xf>
    <xf numFmtId="0" fontId="20" fillId="0" borderId="9" xfId="0" applyFont="1" applyBorder="1" applyAlignment="1">
      <alignment vertical="center" wrapText="1"/>
    </xf>
    <xf numFmtId="0" fontId="20" fillId="0" borderId="11" xfId="0" applyFont="1" applyBorder="1" applyAlignment="1">
      <alignment vertical="center" wrapText="1"/>
    </xf>
    <xf numFmtId="0" fontId="37" fillId="0" borderId="7" xfId="0" applyFont="1" applyBorder="1" applyAlignment="1">
      <alignment horizontal="left" vertical="center" wrapText="1"/>
    </xf>
    <xf numFmtId="0" fontId="37" fillId="0" borderId="7" xfId="0" applyFont="1" applyBorder="1" applyAlignment="1">
      <alignment horizontal="center" vertical="center" wrapText="1"/>
    </xf>
    <xf numFmtId="179" fontId="20" fillId="0" borderId="7" xfId="2" applyNumberFormat="1" applyFont="1" applyBorder="1" applyAlignment="1">
      <alignment horizontal="right" vertical="center" wrapText="1"/>
    </xf>
    <xf numFmtId="179" fontId="37" fillId="0" borderId="7" xfId="2" applyNumberFormat="1" applyFont="1" applyBorder="1" applyAlignment="1">
      <alignment horizontal="right" vertical="center" wrapText="1"/>
    </xf>
    <xf numFmtId="0" fontId="123" fillId="4" borderId="6" xfId="0" applyFont="1" applyFill="1" applyBorder="1" applyAlignment="1">
      <alignment horizontal="justify" wrapText="1"/>
    </xf>
    <xf numFmtId="0" fontId="83" fillId="0" borderId="0" xfId="0" applyFont="1"/>
    <xf numFmtId="0" fontId="85" fillId="4" borderId="0" xfId="0" applyFont="1" applyFill="1" applyAlignment="1">
      <alignment vertical="center" wrapText="1"/>
    </xf>
    <xf numFmtId="0" fontId="112" fillId="4" borderId="0" xfId="0" applyFont="1" applyFill="1" applyAlignment="1">
      <alignment vertical="center" wrapText="1"/>
    </xf>
    <xf numFmtId="0" fontId="127" fillId="0" borderId="0" xfId="0" applyFont="1"/>
    <xf numFmtId="0" fontId="120" fillId="4" borderId="0" xfId="0" applyFont="1" applyFill="1"/>
    <xf numFmtId="3" fontId="54" fillId="4" borderId="4" xfId="0" applyNumberFormat="1" applyFont="1" applyFill="1" applyBorder="1" applyAlignment="1">
      <alignment horizontal="right" vertical="center" wrapText="1"/>
    </xf>
    <xf numFmtId="0" fontId="47" fillId="4" borderId="4" xfId="0" applyFont="1" applyFill="1" applyBorder="1" applyAlignment="1">
      <alignment horizontal="center" vertical="center" wrapText="1"/>
    </xf>
    <xf numFmtId="0" fontId="47" fillId="4" borderId="4" xfId="0" applyFont="1" applyFill="1" applyBorder="1" applyAlignment="1">
      <alignment vertical="center"/>
    </xf>
    <xf numFmtId="0" fontId="44" fillId="4" borderId="4" xfId="0" applyFont="1" applyFill="1" applyBorder="1" applyAlignment="1">
      <alignment horizontal="justify" vertical="center" wrapText="1"/>
    </xf>
    <xf numFmtId="172" fontId="44" fillId="4" borderId="4" xfId="2" applyNumberFormat="1" applyFont="1" applyFill="1" applyBorder="1" applyAlignment="1">
      <alignment horizontal="justify" vertical="center" wrapText="1"/>
    </xf>
    <xf numFmtId="14" fontId="44" fillId="4" borderId="4" xfId="0" applyNumberFormat="1" applyFont="1" applyFill="1" applyBorder="1" applyAlignment="1">
      <alignment horizontal="center" vertical="center" wrapText="1"/>
    </xf>
    <xf numFmtId="175" fontId="44" fillId="4" borderId="4" xfId="0" applyNumberFormat="1" applyFont="1" applyFill="1" applyBorder="1" applyAlignment="1">
      <alignment horizontal="right" vertical="center" wrapText="1"/>
    </xf>
    <xf numFmtId="3" fontId="55" fillId="4" borderId="5" xfId="0" applyNumberFormat="1" applyFont="1" applyFill="1" applyBorder="1" applyAlignment="1">
      <alignment horizontal="left" vertical="center" wrapText="1"/>
    </xf>
    <xf numFmtId="3" fontId="55" fillId="4" borderId="5" xfId="0" applyNumberFormat="1" applyFont="1" applyFill="1" applyBorder="1" applyAlignment="1">
      <alignment horizontal="right" vertical="center" wrapText="1"/>
    </xf>
    <xf numFmtId="3" fontId="55" fillId="4" borderId="5" xfId="0" applyNumberFormat="1" applyFont="1" applyFill="1" applyBorder="1" applyAlignment="1">
      <alignment horizontal="center" vertical="center" wrapText="1"/>
    </xf>
    <xf numFmtId="3" fontId="51" fillId="4" borderId="5" xfId="0" applyNumberFormat="1" applyFont="1" applyFill="1" applyBorder="1" applyAlignment="1">
      <alignment horizontal="right" vertical="center"/>
    </xf>
    <xf numFmtId="179" fontId="113" fillId="0" borderId="5" xfId="2" applyNumberFormat="1" applyFont="1" applyBorder="1" applyAlignment="1">
      <alignment horizontal="right" vertical="center" wrapText="1"/>
    </xf>
    <xf numFmtId="179" fontId="18" fillId="0" borderId="5" xfId="2" applyNumberFormat="1" applyFont="1" applyBorder="1" applyAlignment="1">
      <alignment horizontal="right" vertical="center" wrapText="1"/>
    </xf>
    <xf numFmtId="179" fontId="94" fillId="0" borderId="5" xfId="2" applyNumberFormat="1" applyFont="1" applyBorder="1" applyAlignment="1">
      <alignment horizontal="right" vertical="center" wrapText="1"/>
    </xf>
    <xf numFmtId="179" fontId="113" fillId="3" borderId="5" xfId="2" applyNumberFormat="1" applyFont="1" applyFill="1" applyBorder="1" applyAlignment="1">
      <alignment horizontal="right" vertical="center" wrapText="1"/>
    </xf>
    <xf numFmtId="179" fontId="113" fillId="4" borderId="5" xfId="2" applyNumberFormat="1" applyFont="1" applyFill="1" applyBorder="1" applyAlignment="1">
      <alignment horizontal="right" vertical="center" wrapText="1"/>
    </xf>
    <xf numFmtId="179" fontId="27" fillId="0" borderId="5" xfId="2" applyNumberFormat="1" applyFont="1" applyBorder="1" applyAlignment="1">
      <alignment horizontal="right" vertical="center" wrapText="1"/>
    </xf>
    <xf numFmtId="179" fontId="3" fillId="0" borderId="5" xfId="2" applyNumberFormat="1" applyFont="1" applyBorder="1"/>
    <xf numFmtId="179" fontId="113" fillId="0" borderId="5" xfId="2" applyNumberFormat="1" applyFont="1" applyBorder="1"/>
    <xf numFmtId="179" fontId="113" fillId="0" borderId="6" xfId="2" applyNumberFormat="1" applyFont="1" applyBorder="1"/>
    <xf numFmtId="179" fontId="7" fillId="0" borderId="5" xfId="2" applyNumberFormat="1" applyFont="1" applyBorder="1" applyAlignment="1">
      <alignment horizontal="right" vertical="center" wrapText="1"/>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179" fontId="5" fillId="0" borderId="5" xfId="2" applyNumberFormat="1" applyFont="1" applyBorder="1" applyAlignment="1">
      <alignment horizontal="right" vertical="center" wrapText="1"/>
    </xf>
    <xf numFmtId="0" fontId="21" fillId="0" borderId="26"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5" xfId="37" applyFont="1" applyBorder="1" applyAlignment="1">
      <alignment horizontal="center" vertical="center" wrapText="1"/>
    </xf>
    <xf numFmtId="182" fontId="18" fillId="0" borderId="4" xfId="0" applyNumberFormat="1" applyFont="1" applyBorder="1" applyAlignment="1">
      <alignment vertical="center" wrapText="1"/>
    </xf>
    <xf numFmtId="182" fontId="21" fillId="0" borderId="25" xfId="37" applyNumberFormat="1" applyFont="1" applyBorder="1" applyAlignment="1">
      <alignment horizontal="right" vertical="center" wrapText="1"/>
    </xf>
    <xf numFmtId="170" fontId="0" fillId="4" borderId="0" xfId="2" applyFont="1" applyFill="1"/>
    <xf numFmtId="0" fontId="66" fillId="4" borderId="0" xfId="40" applyFont="1" applyFill="1" applyAlignment="1">
      <alignment horizontal="centerContinuous" vertical="center"/>
    </xf>
    <xf numFmtId="179" fontId="128" fillId="4" borderId="0" xfId="2" applyNumberFormat="1" applyFont="1" applyFill="1"/>
    <xf numFmtId="0" fontId="128" fillId="4" borderId="0" xfId="0" applyFont="1" applyFill="1"/>
    <xf numFmtId="0" fontId="45" fillId="4" borderId="0" xfId="0" applyFont="1" applyFill="1" applyAlignment="1">
      <alignment horizontal="center" vertical="center"/>
    </xf>
    <xf numFmtId="0" fontId="49" fillId="4" borderId="13" xfId="0" applyFont="1" applyFill="1" applyBorder="1" applyAlignment="1">
      <alignment horizontal="right" vertical="center"/>
    </xf>
    <xf numFmtId="0" fontId="60" fillId="4" borderId="3" xfId="0" applyFont="1" applyFill="1" applyBorder="1" applyAlignment="1">
      <alignment horizontal="center" vertical="center"/>
    </xf>
    <xf numFmtId="0" fontId="118" fillId="4" borderId="3" xfId="0" applyFont="1" applyFill="1" applyBorder="1" applyAlignment="1">
      <alignment horizontal="center" vertical="center"/>
    </xf>
    <xf numFmtId="179" fontId="0" fillId="4" borderId="0" xfId="2" applyNumberFormat="1" applyFont="1" applyFill="1"/>
    <xf numFmtId="0" fontId="0" fillId="4" borderId="0" xfId="0" applyFill="1"/>
    <xf numFmtId="0" fontId="60" fillId="4" borderId="7" xfId="0" applyFont="1" applyFill="1" applyBorder="1" applyAlignment="1">
      <alignment horizontal="center" vertical="center"/>
    </xf>
    <xf numFmtId="0" fontId="60" fillId="4" borderId="7" xfId="0" applyFont="1" applyFill="1" applyBorder="1" applyAlignment="1">
      <alignment vertical="center" wrapText="1"/>
    </xf>
    <xf numFmtId="170" fontId="118" fillId="4" borderId="7" xfId="2" applyFont="1" applyFill="1" applyBorder="1" applyAlignment="1">
      <alignment vertical="center"/>
    </xf>
    <xf numFmtId="0" fontId="118" fillId="4" borderId="7" xfId="0" applyFont="1" applyFill="1" applyBorder="1" applyAlignment="1">
      <alignment horizontal="center" vertical="center"/>
    </xf>
    <xf numFmtId="0" fontId="129" fillId="4" borderId="7" xfId="0" applyFont="1" applyFill="1" applyBorder="1" applyAlignment="1">
      <alignment horizontal="justify" vertical="center" wrapText="1"/>
    </xf>
    <xf numFmtId="170" fontId="60" fillId="4" borderId="7" xfId="2" applyFont="1" applyFill="1" applyBorder="1" applyAlignment="1">
      <alignment vertical="center"/>
    </xf>
    <xf numFmtId="0" fontId="46" fillId="4" borderId="5" xfId="0" applyFont="1" applyFill="1" applyBorder="1" applyAlignment="1">
      <alignment vertical="center"/>
    </xf>
    <xf numFmtId="170" fontId="46" fillId="4" borderId="5" xfId="2" applyFont="1" applyFill="1" applyBorder="1" applyAlignment="1">
      <alignment vertical="center"/>
    </xf>
    <xf numFmtId="0" fontId="88" fillId="4" borderId="5" xfId="0" applyFont="1" applyFill="1" applyBorder="1" applyAlignment="1">
      <alignment vertical="center"/>
    </xf>
    <xf numFmtId="0" fontId="129" fillId="4" borderId="5" xfId="0" applyFont="1" applyFill="1" applyBorder="1" applyAlignment="1">
      <alignment horizontal="center" vertical="center"/>
    </xf>
    <xf numFmtId="170" fontId="118" fillId="4" borderId="5" xfId="2" applyFont="1" applyFill="1" applyBorder="1" applyAlignment="1">
      <alignment vertical="center"/>
    </xf>
    <xf numFmtId="0" fontId="60" fillId="4" borderId="5" xfId="0" applyFont="1" applyFill="1" applyBorder="1" applyAlignment="1">
      <alignment horizontal="center" vertical="center"/>
    </xf>
    <xf numFmtId="170" fontId="60" fillId="4" borderId="5" xfId="2" applyFont="1" applyFill="1" applyBorder="1" applyAlignment="1">
      <alignment vertical="center"/>
    </xf>
    <xf numFmtId="0" fontId="46" fillId="4" borderId="5" xfId="0" applyFont="1" applyFill="1" applyBorder="1" applyAlignment="1">
      <alignment vertical="center" wrapText="1"/>
    </xf>
    <xf numFmtId="0" fontId="129" fillId="4" borderId="5" xfId="0" applyFont="1" applyFill="1" applyBorder="1" applyAlignment="1">
      <alignment vertical="center" wrapText="1"/>
    </xf>
    <xf numFmtId="0" fontId="60" fillId="4" borderId="6" xfId="0" applyFont="1" applyFill="1" applyBorder="1" applyAlignment="1">
      <alignment horizontal="center" vertical="center"/>
    </xf>
    <xf numFmtId="0" fontId="60" fillId="4" borderId="6" xfId="0" applyFont="1" applyFill="1" applyBorder="1" applyAlignment="1">
      <alignment vertical="center"/>
    </xf>
    <xf numFmtId="170" fontId="60" fillId="4" borderId="6" xfId="2" applyFont="1" applyFill="1" applyBorder="1" applyAlignment="1">
      <alignment vertical="center"/>
    </xf>
    <xf numFmtId="0" fontId="60" fillId="4" borderId="3" xfId="0" applyFont="1" applyFill="1" applyBorder="1" applyAlignment="1">
      <alignment wrapText="1"/>
    </xf>
    <xf numFmtId="170" fontId="60" fillId="4" borderId="3" xfId="0" applyNumberFormat="1" applyFont="1" applyFill="1" applyBorder="1" applyAlignment="1">
      <alignment wrapText="1"/>
    </xf>
    <xf numFmtId="170" fontId="60" fillId="4" borderId="24" xfId="0" applyNumberFormat="1" applyFont="1" applyFill="1" applyBorder="1" applyAlignment="1">
      <alignment wrapText="1"/>
    </xf>
    <xf numFmtId="0" fontId="0" fillId="4" borderId="3" xfId="0" applyFill="1" applyBorder="1"/>
    <xf numFmtId="0" fontId="48" fillId="4" borderId="3" xfId="0" applyFont="1" applyFill="1" applyBorder="1"/>
    <xf numFmtId="170" fontId="48" fillId="4" borderId="0" xfId="2" applyFont="1" applyFill="1"/>
    <xf numFmtId="179" fontId="48" fillId="4" borderId="0" xfId="2" applyNumberFormat="1" applyFont="1" applyFill="1"/>
    <xf numFmtId="190" fontId="20" fillId="4" borderId="0" xfId="2" applyNumberFormat="1" applyFont="1" applyFill="1" applyBorder="1"/>
    <xf numFmtId="190" fontId="19" fillId="4" borderId="0" xfId="2" applyNumberFormat="1" applyFont="1" applyFill="1" applyBorder="1"/>
    <xf numFmtId="172" fontId="19" fillId="4" borderId="0" xfId="2" applyNumberFormat="1" applyFont="1" applyFill="1" applyBorder="1"/>
    <xf numFmtId="170" fontId="29" fillId="4" borderId="0" xfId="2" applyFont="1" applyFill="1" applyAlignment="1">
      <alignment horizontal="right"/>
    </xf>
    <xf numFmtId="0" fontId="129" fillId="4" borderId="5" xfId="0" applyFont="1" applyFill="1" applyBorder="1" applyAlignment="1">
      <alignment horizontal="justify" vertical="center" wrapText="1"/>
    </xf>
    <xf numFmtId="174" fontId="89" fillId="4" borderId="7" xfId="2" applyNumberFormat="1" applyFont="1" applyFill="1" applyBorder="1" applyAlignment="1">
      <alignment vertical="center"/>
    </xf>
    <xf numFmtId="174" fontId="91" fillId="4" borderId="5" xfId="2" applyNumberFormat="1" applyFont="1" applyFill="1" applyBorder="1" applyAlignment="1">
      <alignment vertical="center"/>
    </xf>
    <xf numFmtId="174" fontId="89" fillId="4" borderId="5" xfId="2" applyNumberFormat="1" applyFont="1" applyFill="1" applyBorder="1" applyAlignment="1">
      <alignment vertical="center"/>
    </xf>
    <xf numFmtId="174" fontId="89" fillId="4" borderId="6" xfId="2" applyNumberFormat="1" applyFont="1" applyFill="1" applyBorder="1" applyAlignment="1">
      <alignment vertical="center"/>
    </xf>
    <xf numFmtId="174" fontId="89" fillId="4" borderId="3" xfId="2" applyNumberFormat="1" applyFont="1" applyFill="1" applyBorder="1" applyAlignment="1">
      <alignment wrapText="1"/>
    </xf>
    <xf numFmtId="174" fontId="130" fillId="4" borderId="3" xfId="2" applyNumberFormat="1" applyFont="1" applyFill="1" applyBorder="1"/>
    <xf numFmtId="174" fontId="89" fillId="4" borderId="3" xfId="2" applyNumberFormat="1" applyFont="1" applyFill="1" applyBorder="1"/>
    <xf numFmtId="0" fontId="126" fillId="0" borderId="3" xfId="0" applyFont="1" applyBorder="1" applyAlignment="1">
      <alignment horizontal="center" vertical="center" wrapText="1"/>
    </xf>
    <xf numFmtId="0" fontId="73" fillId="4" borderId="3" xfId="0" applyFont="1" applyFill="1" applyBorder="1" applyAlignment="1">
      <alignment horizontal="center" vertical="center" wrapText="1"/>
    </xf>
    <xf numFmtId="172" fontId="73" fillId="4" borderId="3" xfId="2" applyNumberFormat="1" applyFont="1" applyFill="1" applyBorder="1" applyAlignment="1">
      <alignment vertical="center" wrapText="1"/>
    </xf>
    <xf numFmtId="172" fontId="73" fillId="4" borderId="3" xfId="2" applyNumberFormat="1" applyFont="1" applyFill="1" applyBorder="1" applyAlignment="1">
      <alignment horizontal="center" vertical="center" wrapText="1"/>
    </xf>
    <xf numFmtId="170" fontId="73" fillId="4" borderId="3" xfId="2" applyFont="1" applyFill="1" applyBorder="1" applyAlignment="1">
      <alignment horizontal="center" vertical="center" wrapText="1"/>
    </xf>
    <xf numFmtId="178" fontId="73" fillId="4" borderId="0" xfId="2" applyNumberFormat="1" applyFont="1" applyFill="1"/>
    <xf numFmtId="0" fontId="71" fillId="4" borderId="3" xfId="0" applyFont="1" applyFill="1" applyBorder="1" applyAlignment="1">
      <alignment horizontal="center" vertical="center" wrapText="1"/>
    </xf>
    <xf numFmtId="172" fontId="71" fillId="4" borderId="3" xfId="2" applyNumberFormat="1" applyFont="1" applyFill="1" applyBorder="1" applyAlignment="1">
      <alignment horizontal="center" vertical="center" wrapText="1"/>
    </xf>
    <xf numFmtId="179" fontId="71" fillId="4" borderId="3" xfId="0" applyNumberFormat="1" applyFont="1" applyFill="1" applyBorder="1" applyAlignment="1">
      <alignment horizontal="center" vertical="center" wrapText="1"/>
    </xf>
    <xf numFmtId="178" fontId="71" fillId="4" borderId="0" xfId="2" applyNumberFormat="1" applyFont="1" applyFill="1"/>
    <xf numFmtId="0" fontId="77" fillId="4" borderId="0" xfId="0" applyFont="1" applyFill="1"/>
    <xf numFmtId="0" fontId="71" fillId="0" borderId="0" xfId="0" applyFont="1"/>
    <xf numFmtId="0" fontId="49" fillId="4" borderId="3" xfId="0" applyFont="1" applyFill="1" applyBorder="1" applyAlignment="1">
      <alignment horizontal="center" vertical="center" wrapText="1"/>
    </xf>
    <xf numFmtId="0" fontId="71" fillId="0" borderId="25" xfId="0" applyFont="1" applyBorder="1" applyAlignment="1">
      <alignment horizontal="center" vertical="center" wrapText="1"/>
    </xf>
    <xf numFmtId="0" fontId="71" fillId="0" borderId="25" xfId="37" applyFont="1" applyBorder="1" applyAlignment="1">
      <alignment horizontal="center" vertical="center" wrapText="1"/>
    </xf>
    <xf numFmtId="0" fontId="71" fillId="0" borderId="0" xfId="37" applyFont="1" applyAlignment="1">
      <alignment horizontal="center" vertical="center" wrapText="1"/>
    </xf>
    <xf numFmtId="0" fontId="71" fillId="0" borderId="3" xfId="0" applyFont="1" applyBorder="1" applyAlignment="1">
      <alignment horizontal="center" vertical="center" wrapText="1"/>
    </xf>
    <xf numFmtId="0" fontId="71" fillId="0" borderId="3" xfId="37" applyFont="1" applyBorder="1" applyAlignment="1">
      <alignment horizontal="center" vertical="center" wrapText="1"/>
    </xf>
    <xf numFmtId="0" fontId="71" fillId="0" borderId="0" xfId="0" applyFont="1" applyAlignment="1">
      <alignment horizontal="center" vertical="center" wrapText="1"/>
    </xf>
    <xf numFmtId="0" fontId="96" fillId="4" borderId="3" xfId="0" applyFont="1" applyFill="1" applyBorder="1" applyAlignment="1">
      <alignment horizontal="center" vertical="center"/>
    </xf>
    <xf numFmtId="0" fontId="96" fillId="4" borderId="9" xfId="0" applyFont="1" applyFill="1" applyBorder="1" applyAlignment="1">
      <alignment horizontal="center" vertical="center"/>
    </xf>
    <xf numFmtId="179" fontId="136" fillId="4" borderId="0" xfId="2" applyNumberFormat="1" applyFont="1" applyFill="1"/>
    <xf numFmtId="0" fontId="136" fillId="4" borderId="0" xfId="0" applyFont="1" applyFill="1"/>
    <xf numFmtId="170" fontId="52" fillId="4" borderId="0" xfId="2" applyFont="1" applyFill="1"/>
    <xf numFmtId="179" fontId="19" fillId="0" borderId="0" xfId="0" applyNumberFormat="1" applyFont="1"/>
    <xf numFmtId="170" fontId="54" fillId="0" borderId="0" xfId="2" applyFont="1"/>
    <xf numFmtId="170" fontId="51" fillId="0" borderId="0" xfId="2" applyFont="1"/>
    <xf numFmtId="170" fontId="71" fillId="0" borderId="0" xfId="2" applyFont="1"/>
    <xf numFmtId="170" fontId="7" fillId="0" borderId="0" xfId="2" applyFont="1" applyAlignment="1">
      <alignment horizontal="center"/>
    </xf>
    <xf numFmtId="170" fontId="7" fillId="0" borderId="0" xfId="2" applyFont="1"/>
    <xf numFmtId="170" fontId="7" fillId="0" borderId="0" xfId="2" applyFont="1" applyBorder="1"/>
    <xf numFmtId="170" fontId="51" fillId="0" borderId="0" xfId="2" applyFont="1" applyBorder="1"/>
    <xf numFmtId="170" fontId="54" fillId="0" borderId="0" xfId="2" applyFont="1" applyBorder="1"/>
    <xf numFmtId="170" fontId="19" fillId="0" borderId="0" xfId="2" applyFont="1"/>
    <xf numFmtId="170" fontId="20" fillId="0" borderId="0" xfId="2" applyFont="1"/>
    <xf numFmtId="170" fontId="113" fillId="0" borderId="0" xfId="2" applyFont="1" applyAlignment="1">
      <alignment horizontal="center"/>
    </xf>
    <xf numFmtId="170" fontId="113" fillId="0" borderId="0" xfId="2" applyFont="1"/>
    <xf numFmtId="170" fontId="18" fillId="0" borderId="0" xfId="2" applyFont="1" applyBorder="1"/>
    <xf numFmtId="170" fontId="18" fillId="0" borderId="0" xfId="2" applyFont="1"/>
    <xf numFmtId="170" fontId="113" fillId="0" borderId="0" xfId="2" applyFont="1" applyBorder="1"/>
    <xf numFmtId="170" fontId="20" fillId="0" borderId="0" xfId="2" applyFont="1" applyBorder="1"/>
    <xf numFmtId="170" fontId="19" fillId="0" borderId="0" xfId="2" applyFont="1" applyBorder="1"/>
    <xf numFmtId="0" fontId="45" fillId="4" borderId="5" xfId="0" applyFont="1" applyFill="1" applyBorder="1" applyAlignment="1">
      <alignment horizontal="center" vertical="center" wrapText="1"/>
    </xf>
    <xf numFmtId="179" fontId="45" fillId="4" borderId="0" xfId="2" applyNumberFormat="1" applyFont="1" applyFill="1" applyBorder="1" applyAlignment="1">
      <alignment horizontal="center" vertical="center" wrapText="1"/>
    </xf>
    <xf numFmtId="179" fontId="61" fillId="4" borderId="5" xfId="2" applyNumberFormat="1" applyFont="1" applyFill="1" applyBorder="1" applyAlignment="1">
      <alignment horizontal="center" vertical="center" wrapText="1"/>
    </xf>
    <xf numFmtId="0" fontId="87" fillId="4" borderId="0" xfId="0" applyFont="1" applyFill="1"/>
    <xf numFmtId="0" fontId="137" fillId="4" borderId="0" xfId="0" applyFont="1" applyFill="1"/>
    <xf numFmtId="186" fontId="52" fillId="4" borderId="0" xfId="0" applyNumberFormat="1" applyFont="1" applyFill="1"/>
    <xf numFmtId="182" fontId="52" fillId="4" borderId="0" xfId="0" applyNumberFormat="1" applyFont="1" applyFill="1"/>
    <xf numFmtId="0" fontId="60" fillId="0" borderId="0" xfId="0" applyFont="1"/>
    <xf numFmtId="0" fontId="48" fillId="0" borderId="3" xfId="0" applyFont="1" applyBorder="1" applyAlignment="1">
      <alignment vertical="center" wrapText="1"/>
    </xf>
    <xf numFmtId="0" fontId="45" fillId="0" borderId="5" xfId="0" applyFont="1" applyBorder="1" applyAlignment="1">
      <alignment horizontal="center" vertical="center" wrapText="1"/>
    </xf>
    <xf numFmtId="0" fontId="45" fillId="0" borderId="5" xfId="0" applyFont="1" applyBorder="1" applyAlignment="1">
      <alignment vertical="center" wrapText="1"/>
    </xf>
    <xf numFmtId="0" fontId="45" fillId="0" borderId="6" xfId="0" applyFont="1" applyBorder="1" applyAlignment="1">
      <alignment horizontal="center" vertical="center" wrapText="1"/>
    </xf>
    <xf numFmtId="0" fontId="45" fillId="0" borderId="6" xfId="0" applyFont="1" applyBorder="1" applyAlignment="1">
      <alignment vertical="center" wrapText="1"/>
    </xf>
    <xf numFmtId="0" fontId="46" fillId="0" borderId="0" xfId="0" applyFont="1" applyAlignment="1">
      <alignment horizontal="center" vertical="center" wrapText="1"/>
    </xf>
    <xf numFmtId="0" fontId="49" fillId="0" borderId="5" xfId="0" applyFont="1" applyBorder="1" applyAlignment="1">
      <alignment vertical="center" wrapText="1"/>
    </xf>
    <xf numFmtId="179" fontId="45" fillId="0" borderId="5" xfId="2" applyNumberFormat="1" applyFont="1" applyBorder="1" applyAlignment="1">
      <alignment vertical="center" wrapText="1"/>
    </xf>
    <xf numFmtId="172" fontId="45" fillId="0" borderId="5" xfId="2" applyNumberFormat="1" applyFont="1" applyBorder="1" applyAlignment="1">
      <alignment vertical="center" wrapText="1"/>
    </xf>
    <xf numFmtId="0" fontId="45" fillId="0" borderId="4" xfId="0" applyFont="1" applyBorder="1" applyAlignment="1">
      <alignment horizontal="center" vertical="center" wrapText="1"/>
    </xf>
    <xf numFmtId="0" fontId="45" fillId="0" borderId="4" xfId="0" applyFont="1" applyBorder="1" applyAlignment="1">
      <alignment vertical="center" wrapText="1"/>
    </xf>
    <xf numFmtId="179" fontId="45" fillId="0" borderId="4" xfId="2" applyNumberFormat="1" applyFont="1" applyBorder="1" applyAlignment="1">
      <alignment vertical="center" wrapText="1"/>
    </xf>
    <xf numFmtId="172" fontId="45" fillId="0" borderId="4" xfId="2" applyNumberFormat="1" applyFont="1" applyBorder="1" applyAlignment="1">
      <alignment vertical="center" wrapText="1"/>
    </xf>
    <xf numFmtId="0" fontId="69" fillId="0" borderId="0" xfId="0" applyFont="1"/>
    <xf numFmtId="0" fontId="124" fillId="0" borderId="3" xfId="0" applyFont="1" applyBorder="1" applyAlignment="1">
      <alignment horizontal="center" vertical="center" wrapText="1"/>
    </xf>
    <xf numFmtId="0" fontId="138" fillId="0" borderId="0" xfId="0" applyFont="1"/>
    <xf numFmtId="179" fontId="45" fillId="0" borderId="6" xfId="2" applyNumberFormat="1" applyFont="1" applyBorder="1" applyAlignment="1">
      <alignment vertical="center" wrapText="1"/>
    </xf>
    <xf numFmtId="172" fontId="45" fillId="0" borderId="6" xfId="2" applyNumberFormat="1" applyFont="1" applyBorder="1" applyAlignment="1">
      <alignment vertical="center" wrapText="1"/>
    </xf>
    <xf numFmtId="172" fontId="48" fillId="4" borderId="0" xfId="2" applyNumberFormat="1" applyFont="1" applyFill="1" applyAlignment="1">
      <alignment vertical="center" wrapText="1"/>
    </xf>
    <xf numFmtId="172" fontId="50" fillId="4" borderId="0" xfId="2" applyNumberFormat="1" applyFont="1" applyFill="1" applyAlignment="1">
      <alignment vertical="center" wrapText="1"/>
    </xf>
    <xf numFmtId="0" fontId="48" fillId="4" borderId="5" xfId="0" applyFont="1" applyFill="1" applyBorder="1" applyAlignment="1">
      <alignment horizontal="center" vertical="center" wrapText="1"/>
    </xf>
    <xf numFmtId="0" fontId="48" fillId="4" borderId="5" xfId="0" applyFont="1" applyFill="1" applyBorder="1" applyAlignment="1">
      <alignment horizontal="left" vertical="center" wrapText="1"/>
    </xf>
    <xf numFmtId="0" fontId="45" fillId="4" borderId="5" xfId="0" applyFont="1" applyFill="1" applyBorder="1" applyAlignment="1">
      <alignment horizontal="left" vertical="center" wrapText="1"/>
    </xf>
    <xf numFmtId="172" fontId="99" fillId="4" borderId="0" xfId="2" applyNumberFormat="1" applyFont="1" applyFill="1" applyBorder="1" applyAlignment="1">
      <alignment horizontal="right" vertical="center" wrapText="1"/>
    </xf>
    <xf numFmtId="191" fontId="99" fillId="4" borderId="5" xfId="2" applyNumberFormat="1" applyFont="1" applyFill="1" applyBorder="1" applyAlignment="1">
      <alignment horizontal="right" vertical="center"/>
    </xf>
    <xf numFmtId="175" fontId="99" fillId="4" borderId="5" xfId="2" applyNumberFormat="1" applyFont="1" applyFill="1" applyBorder="1" applyAlignment="1">
      <alignment horizontal="right" vertical="center" wrapText="1"/>
    </xf>
    <xf numFmtId="0" fontId="99" fillId="4" borderId="5" xfId="0" applyFont="1" applyFill="1" applyBorder="1" applyAlignment="1">
      <alignment horizontal="center" vertical="center"/>
    </xf>
    <xf numFmtId="0" fontId="99" fillId="4" borderId="5" xfId="0" applyFont="1" applyFill="1" applyBorder="1" applyAlignment="1">
      <alignment horizontal="justify" vertical="center" wrapText="1"/>
    </xf>
    <xf numFmtId="172" fontId="99" fillId="4" borderId="5" xfId="2" applyNumberFormat="1" applyFont="1" applyFill="1" applyBorder="1" applyAlignment="1">
      <alignment vertical="center" wrapText="1"/>
    </xf>
    <xf numFmtId="172" fontId="99" fillId="4" borderId="5" xfId="2" applyNumberFormat="1" applyFont="1" applyFill="1" applyBorder="1" applyAlignment="1">
      <alignment vertical="center"/>
    </xf>
    <xf numFmtId="172" fontId="99" fillId="4" borderId="5" xfId="0" applyNumberFormat="1" applyFont="1" applyFill="1" applyBorder="1" applyAlignment="1">
      <alignment vertical="center" wrapText="1"/>
    </xf>
    <xf numFmtId="172" fontId="99" fillId="4" borderId="5" xfId="2" applyNumberFormat="1" applyFont="1" applyFill="1" applyBorder="1" applyAlignment="1">
      <alignment horizontal="right" vertical="center" wrapText="1"/>
    </xf>
    <xf numFmtId="172" fontId="99" fillId="4" borderId="5" xfId="0" applyNumberFormat="1" applyFont="1" applyFill="1" applyBorder="1" applyAlignment="1">
      <alignment horizontal="right" vertical="center" wrapText="1"/>
    </xf>
    <xf numFmtId="0" fontId="99" fillId="4" borderId="0" xfId="0" applyFont="1" applyFill="1" applyAlignment="1">
      <alignment horizontal="justify"/>
    </xf>
    <xf numFmtId="186" fontId="116" fillId="4" borderId="0" xfId="0" applyNumberFormat="1" applyFont="1" applyFill="1"/>
    <xf numFmtId="183" fontId="46" fillId="4" borderId="0" xfId="0" applyNumberFormat="1" applyFont="1" applyFill="1"/>
    <xf numFmtId="179" fontId="61" fillId="4" borderId="13" xfId="2" applyNumberFormat="1" applyFont="1" applyFill="1" applyBorder="1" applyAlignment="1"/>
    <xf numFmtId="188" fontId="61" fillId="4" borderId="0" xfId="0" applyNumberFormat="1" applyFont="1" applyFill="1"/>
    <xf numFmtId="0" fontId="110" fillId="0" borderId="3" xfId="0" applyFont="1" applyBorder="1" applyAlignment="1">
      <alignment horizontal="center" vertical="center" wrapText="1"/>
    </xf>
    <xf numFmtId="0" fontId="61" fillId="0" borderId="11" xfId="0" applyFont="1" applyBorder="1" applyAlignment="1">
      <alignment horizontal="center" vertical="center" wrapText="1"/>
    </xf>
    <xf numFmtId="0" fontId="139" fillId="0" borderId="3" xfId="0" applyFont="1" applyBorder="1" applyAlignment="1">
      <alignment horizontal="center" vertical="center" wrapText="1"/>
    </xf>
    <xf numFmtId="179" fontId="117" fillId="0" borderId="3" xfId="2" applyNumberFormat="1" applyFont="1" applyFill="1" applyBorder="1" applyAlignment="1">
      <alignment horizontal="center" vertical="center" wrapText="1"/>
    </xf>
    <xf numFmtId="3" fontId="140" fillId="0" borderId="3" xfId="0" applyNumberFormat="1" applyFont="1" applyBorder="1" applyAlignment="1">
      <alignment horizontal="center" vertical="center" wrapText="1"/>
    </xf>
    <xf numFmtId="0" fontId="140" fillId="0" borderId="3" xfId="0" applyFont="1" applyBorder="1" applyAlignment="1">
      <alignment horizontal="center" vertical="center" wrapText="1"/>
    </xf>
    <xf numFmtId="172" fontId="140" fillId="0" borderId="3" xfId="2" applyNumberFormat="1" applyFont="1" applyFill="1" applyBorder="1" applyAlignment="1">
      <alignment horizontal="center" vertical="center" wrapText="1"/>
    </xf>
    <xf numFmtId="170" fontId="140" fillId="0" borderId="3" xfId="2" applyFont="1" applyFill="1" applyBorder="1" applyAlignment="1">
      <alignment horizontal="center" vertical="center" wrapText="1"/>
    </xf>
    <xf numFmtId="3" fontId="117" fillId="0" borderId="3" xfId="0" applyNumberFormat="1" applyFont="1" applyBorder="1" applyAlignment="1">
      <alignment horizontal="center" vertical="center" wrapText="1"/>
    </xf>
    <xf numFmtId="182" fontId="117" fillId="0" borderId="3" xfId="0" applyNumberFormat="1" applyFont="1" applyBorder="1" applyAlignment="1">
      <alignment horizontal="justify" vertical="center" wrapText="1"/>
    </xf>
    <xf numFmtId="182" fontId="117" fillId="0" borderId="3" xfId="2" applyNumberFormat="1" applyFont="1" applyFill="1" applyBorder="1" applyAlignment="1">
      <alignment vertical="center" wrapText="1"/>
    </xf>
    <xf numFmtId="185" fontId="117" fillId="0" borderId="3" xfId="2" applyNumberFormat="1" applyFont="1" applyFill="1" applyBorder="1" applyAlignment="1">
      <alignment vertical="center" wrapText="1"/>
    </xf>
    <xf numFmtId="170" fontId="117" fillId="0" borderId="3" xfId="2" applyFont="1" applyFill="1" applyBorder="1" applyAlignment="1">
      <alignment horizontal="right" vertical="center" wrapText="1"/>
    </xf>
    <xf numFmtId="0" fontId="61" fillId="0" borderId="5" xfId="2" applyNumberFormat="1" applyFont="1" applyFill="1" applyBorder="1" applyAlignment="1">
      <alignment horizontal="center" vertical="center" wrapText="1"/>
    </xf>
    <xf numFmtId="2" fontId="61" fillId="0" borderId="5" xfId="2" applyNumberFormat="1" applyFont="1" applyFill="1" applyBorder="1" applyAlignment="1">
      <alignment horizontal="left" vertical="center" wrapText="1"/>
    </xf>
    <xf numFmtId="182" fontId="61" fillId="0" borderId="5" xfId="2" applyNumberFormat="1" applyFont="1" applyFill="1" applyBorder="1" applyAlignment="1">
      <alignment vertical="center" wrapText="1"/>
    </xf>
    <xf numFmtId="182" fontId="61" fillId="0" borderId="5" xfId="2" applyNumberFormat="1" applyFont="1" applyFill="1" applyBorder="1" applyAlignment="1">
      <alignment vertical="center" wrapText="1" shrinkToFit="1"/>
    </xf>
    <xf numFmtId="2" fontId="61" fillId="0" borderId="5" xfId="2" applyNumberFormat="1" applyFont="1" applyFill="1" applyBorder="1" applyAlignment="1">
      <alignment horizontal="right" vertical="center" wrapText="1"/>
    </xf>
    <xf numFmtId="186" fontId="87" fillId="4" borderId="0" xfId="0" applyNumberFormat="1" applyFont="1" applyFill="1"/>
    <xf numFmtId="172" fontId="44" fillId="4" borderId="0" xfId="2" applyNumberFormat="1" applyFont="1" applyFill="1"/>
    <xf numFmtId="172" fontId="51" fillId="4" borderId="0" xfId="2" applyNumberFormat="1" applyFont="1" applyFill="1" applyAlignment="1">
      <alignment horizontal="center" vertical="center" wrapText="1"/>
    </xf>
    <xf numFmtId="0" fontId="52" fillId="4" borderId="0" xfId="0" applyFont="1" applyFill="1" applyAlignment="1">
      <alignment horizontal="center" vertical="center" wrapText="1"/>
    </xf>
    <xf numFmtId="172" fontId="3" fillId="4" borderId="3" xfId="2"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3" xfId="2" applyNumberFormat="1" applyFont="1" applyFill="1" applyBorder="1" applyAlignment="1">
      <alignment horizontal="center" vertical="center" wrapText="1"/>
    </xf>
    <xf numFmtId="0" fontId="135" fillId="4" borderId="0" xfId="0" applyFont="1" applyFill="1" applyAlignment="1">
      <alignment horizontal="center" vertical="center" wrapText="1"/>
    </xf>
    <xf numFmtId="179" fontId="3" fillId="4" borderId="3" xfId="2" applyNumberFormat="1" applyFont="1" applyFill="1" applyBorder="1" applyAlignment="1">
      <alignment horizontal="right" vertical="center" wrapText="1"/>
    </xf>
    <xf numFmtId="0" fontId="45" fillId="4" borderId="7" xfId="0" applyFont="1" applyFill="1" applyBorder="1" applyAlignment="1">
      <alignment horizontal="center" vertical="center" wrapText="1"/>
    </xf>
    <xf numFmtId="0" fontId="45" fillId="4" borderId="7" xfId="0" applyFont="1" applyFill="1" applyBorder="1" applyAlignment="1">
      <alignment horizontal="left" vertical="center" wrapText="1"/>
    </xf>
    <xf numFmtId="179" fontId="45" fillId="4" borderId="7" xfId="2" applyNumberFormat="1" applyFont="1" applyFill="1" applyBorder="1" applyAlignment="1">
      <alignment horizontal="right" vertical="center" wrapText="1"/>
    </xf>
    <xf numFmtId="172" fontId="7" fillId="4" borderId="0" xfId="2" applyNumberFormat="1" applyFont="1" applyFill="1" applyBorder="1" applyAlignment="1">
      <alignment horizontal="center" vertical="center" wrapText="1"/>
    </xf>
    <xf numFmtId="0" fontId="110" fillId="4" borderId="0" xfId="0" applyFont="1" applyFill="1"/>
    <xf numFmtId="0" fontId="99" fillId="4" borderId="0" xfId="0" applyFont="1" applyFill="1"/>
    <xf numFmtId="172" fontId="99" fillId="4" borderId="0" xfId="0" applyNumberFormat="1" applyFont="1" applyFill="1"/>
    <xf numFmtId="172" fontId="143" fillId="4" borderId="0" xfId="2" applyNumberFormat="1" applyFont="1" applyFill="1" applyAlignment="1"/>
    <xf numFmtId="172" fontId="99" fillId="4" borderId="0" xfId="2" applyNumberFormat="1" applyFont="1" applyFill="1" applyAlignment="1"/>
    <xf numFmtId="0" fontId="61" fillId="4" borderId="0" xfId="0" applyFont="1" applyFill="1"/>
    <xf numFmtId="172" fontId="61" fillId="4" borderId="0" xfId="2" applyNumberFormat="1" applyFont="1" applyFill="1" applyAlignment="1"/>
    <xf numFmtId="175" fontId="44" fillId="4" borderId="0" xfId="0" applyNumberFormat="1" applyFont="1" applyFill="1"/>
    <xf numFmtId="175" fontId="61" fillId="4" borderId="0" xfId="0" applyNumberFormat="1" applyFont="1" applyFill="1"/>
    <xf numFmtId="0" fontId="63" fillId="4" borderId="13" xfId="0" applyFont="1" applyFill="1" applyBorder="1" applyAlignment="1">
      <alignment horizontal="center"/>
    </xf>
    <xf numFmtId="175" fontId="61" fillId="4" borderId="13" xfId="0" applyNumberFormat="1" applyFont="1" applyFill="1" applyBorder="1" applyAlignment="1">
      <alignment wrapText="1"/>
    </xf>
    <xf numFmtId="172" fontId="99" fillId="4" borderId="13" xfId="2" applyNumberFormat="1" applyFont="1" applyFill="1" applyBorder="1" applyAlignment="1">
      <alignment wrapText="1"/>
    </xf>
    <xf numFmtId="172" fontId="99" fillId="4" borderId="0" xfId="2" applyNumberFormat="1" applyFont="1" applyFill="1" applyBorder="1" applyAlignment="1"/>
    <xf numFmtId="175" fontId="99" fillId="4" borderId="0" xfId="2" applyNumberFormat="1" applyFont="1" applyFill="1" applyBorder="1" applyAlignment="1"/>
    <xf numFmtId="175" fontId="141" fillId="4" borderId="0" xfId="2" applyNumberFormat="1" applyFont="1" applyFill="1" applyBorder="1" applyAlignment="1"/>
    <xf numFmtId="172" fontId="110" fillId="4" borderId="0" xfId="2" applyNumberFormat="1" applyFont="1" applyFill="1" applyBorder="1" applyAlignment="1">
      <alignment horizontal="right" vertical="center" wrapText="1"/>
    </xf>
    <xf numFmtId="172" fontId="140" fillId="4" borderId="0" xfId="2" applyNumberFormat="1" applyFont="1" applyFill="1" applyBorder="1" applyAlignment="1"/>
    <xf numFmtId="0" fontId="142" fillId="4" borderId="0" xfId="0" applyFont="1" applyFill="1"/>
    <xf numFmtId="0" fontId="145" fillId="4" borderId="3" xfId="0" applyFont="1" applyFill="1" applyBorder="1" applyAlignment="1">
      <alignment horizontal="center" vertical="center" wrapText="1"/>
    </xf>
    <xf numFmtId="0" fontId="144" fillId="4" borderId="3" xfId="0" applyFont="1" applyFill="1" applyBorder="1" applyAlignment="1">
      <alignment horizontal="center" vertical="center" wrapText="1"/>
    </xf>
    <xf numFmtId="172" fontId="140" fillId="4" borderId="3" xfId="2" applyNumberFormat="1" applyFont="1" applyFill="1" applyBorder="1" applyAlignment="1">
      <alignment vertical="center" wrapText="1"/>
    </xf>
    <xf numFmtId="0" fontId="145" fillId="4" borderId="3" xfId="0" applyFont="1" applyFill="1" applyBorder="1" applyAlignment="1">
      <alignment vertical="center" wrapText="1"/>
    </xf>
    <xf numFmtId="0" fontId="140" fillId="4" borderId="3" xfId="0" applyFont="1" applyFill="1" applyBorder="1" applyAlignment="1">
      <alignment horizontal="center" vertical="center" wrapText="1"/>
    </xf>
    <xf numFmtId="0" fontId="145" fillId="4" borderId="0" xfId="0" applyFont="1" applyFill="1"/>
    <xf numFmtId="0" fontId="110" fillId="4" borderId="3" xfId="0" applyFont="1" applyFill="1" applyBorder="1" applyAlignment="1">
      <alignment vertical="center" wrapText="1"/>
    </xf>
    <xf numFmtId="172" fontId="110" fillId="4" borderId="3" xfId="2" applyNumberFormat="1" applyFont="1" applyFill="1" applyBorder="1" applyAlignment="1">
      <alignment vertical="center" wrapText="1"/>
    </xf>
    <xf numFmtId="172" fontId="110" fillId="4" borderId="5" xfId="2" applyNumberFormat="1" applyFont="1" applyFill="1" applyBorder="1" applyAlignment="1">
      <alignment horizontal="right" vertical="center" wrapText="1"/>
    </xf>
    <xf numFmtId="172" fontId="110" fillId="4" borderId="3" xfId="2" applyNumberFormat="1" applyFont="1" applyFill="1" applyBorder="1" applyAlignment="1">
      <alignment horizontal="right" vertical="center" wrapText="1"/>
    </xf>
    <xf numFmtId="0" fontId="110" fillId="4" borderId="0" xfId="0" applyFont="1" applyFill="1" applyAlignment="1">
      <alignment horizontal="justify"/>
    </xf>
    <xf numFmtId="0" fontId="110" fillId="4" borderId="4" xfId="0" applyFont="1" applyFill="1" applyBorder="1" applyAlignment="1">
      <alignment horizontal="center" vertical="center" wrapText="1"/>
    </xf>
    <xf numFmtId="0" fontId="110" fillId="4" borderId="4" xfId="0" applyFont="1" applyFill="1" applyBorder="1" applyAlignment="1">
      <alignment vertical="center" wrapText="1"/>
    </xf>
    <xf numFmtId="172" fontId="110" fillId="4" borderId="4" xfId="2" applyNumberFormat="1" applyFont="1" applyFill="1" applyBorder="1" applyAlignment="1">
      <alignment vertical="center" wrapText="1"/>
    </xf>
    <xf numFmtId="172" fontId="110" fillId="4" borderId="4" xfId="2" applyNumberFormat="1" applyFont="1" applyFill="1" applyBorder="1" applyAlignment="1">
      <alignment horizontal="right" vertical="center" wrapText="1"/>
    </xf>
    <xf numFmtId="0" fontId="110" fillId="4" borderId="5" xfId="0" applyFont="1" applyFill="1" applyBorder="1" applyAlignment="1">
      <alignment horizontal="center" vertical="center"/>
    </xf>
    <xf numFmtId="0" fontId="110" fillId="4" borderId="5" xfId="0" applyFont="1" applyFill="1" applyBorder="1" applyAlignment="1">
      <alignment horizontal="justify" vertical="center" wrapText="1"/>
    </xf>
    <xf numFmtId="172" fontId="110" fillId="4" borderId="5" xfId="2" applyNumberFormat="1" applyFont="1" applyFill="1" applyBorder="1" applyAlignment="1">
      <alignment vertical="center" wrapText="1"/>
    </xf>
    <xf numFmtId="0" fontId="110" fillId="4" borderId="5" xfId="0" applyFont="1" applyFill="1" applyBorder="1" applyAlignment="1">
      <alignment vertical="center"/>
    </xf>
    <xf numFmtId="0" fontId="99" fillId="4" borderId="5" xfId="0" applyFont="1" applyFill="1" applyBorder="1" applyAlignment="1">
      <alignment vertical="center" wrapText="1"/>
    </xf>
    <xf numFmtId="172" fontId="99" fillId="4" borderId="5" xfId="2" applyNumberFormat="1" applyFont="1" applyFill="1" applyBorder="1" applyAlignment="1">
      <alignment horizontal="right" vertical="center"/>
    </xf>
    <xf numFmtId="175" fontId="99" fillId="4" borderId="5" xfId="2" applyNumberFormat="1" applyFont="1" applyFill="1" applyBorder="1" applyAlignment="1">
      <alignment vertical="center"/>
    </xf>
    <xf numFmtId="3" fontId="99" fillId="4" borderId="5" xfId="20" applyNumberFormat="1" applyFont="1" applyFill="1" applyBorder="1" applyAlignment="1">
      <alignment horizontal="right" vertical="center"/>
    </xf>
    <xf numFmtId="175" fontId="99" fillId="4" borderId="5" xfId="2" applyNumberFormat="1" applyFont="1" applyFill="1" applyBorder="1" applyAlignment="1">
      <alignment horizontal="right" vertical="center"/>
    </xf>
    <xf numFmtId="0" fontId="99" fillId="4" borderId="5" xfId="0" quotePrefix="1" applyFont="1" applyFill="1" applyBorder="1" applyAlignment="1">
      <alignment horizontal="justify" vertical="center" wrapText="1"/>
    </xf>
    <xf numFmtId="175" fontId="110" fillId="4" borderId="5" xfId="2" applyNumberFormat="1" applyFont="1" applyFill="1" applyBorder="1" applyAlignment="1">
      <alignment horizontal="right" vertical="center" wrapText="1"/>
    </xf>
    <xf numFmtId="0" fontId="146" fillId="4" borderId="5" xfId="0" applyFont="1" applyFill="1" applyBorder="1" applyAlignment="1">
      <alignment horizontal="center" vertical="center"/>
    </xf>
    <xf numFmtId="0" fontId="146" fillId="4" borderId="5" xfId="0" applyFont="1" applyFill="1" applyBorder="1" applyAlignment="1">
      <alignment horizontal="justify" vertical="center" wrapText="1"/>
    </xf>
    <xf numFmtId="172" fontId="146" fillId="4" borderId="5" xfId="2" applyNumberFormat="1" applyFont="1" applyFill="1" applyBorder="1" applyAlignment="1">
      <alignment horizontal="right" vertical="center" wrapText="1"/>
    </xf>
    <xf numFmtId="0" fontId="146" fillId="4" borderId="0" xfId="0" applyFont="1" applyFill="1" applyAlignment="1">
      <alignment horizontal="justify"/>
    </xf>
    <xf numFmtId="175" fontId="99" fillId="5" borderId="5" xfId="2" applyNumberFormat="1" applyFont="1" applyFill="1" applyBorder="1" applyAlignment="1">
      <alignment horizontal="right" vertical="center" wrapText="1"/>
    </xf>
    <xf numFmtId="172" fontId="146" fillId="4" borderId="5" xfId="2" applyNumberFormat="1" applyFont="1" applyFill="1" applyBorder="1" applyAlignment="1">
      <alignment vertical="center" wrapText="1"/>
    </xf>
    <xf numFmtId="172" fontId="146" fillId="4" borderId="5" xfId="2" applyNumberFormat="1" applyFont="1" applyFill="1" applyBorder="1" applyAlignment="1">
      <alignment vertical="center"/>
    </xf>
    <xf numFmtId="175" fontId="146" fillId="4" borderId="5" xfId="2" applyNumberFormat="1" applyFont="1" applyFill="1" applyBorder="1" applyAlignment="1">
      <alignment vertical="center"/>
    </xf>
    <xf numFmtId="175" fontId="146" fillId="4" borderId="5" xfId="2" applyNumberFormat="1" applyFont="1" applyFill="1" applyBorder="1" applyAlignment="1">
      <alignment horizontal="right" vertical="center" wrapText="1"/>
    </xf>
    <xf numFmtId="3" fontId="146" fillId="4" borderId="5" xfId="2" applyNumberFormat="1" applyFont="1" applyFill="1" applyBorder="1" applyAlignment="1">
      <alignment horizontal="right" vertical="center"/>
    </xf>
    <xf numFmtId="175" fontId="146" fillId="4" borderId="5" xfId="2" applyNumberFormat="1" applyFont="1" applyFill="1" applyBorder="1" applyAlignment="1">
      <alignment horizontal="right" vertical="center"/>
    </xf>
    <xf numFmtId="172" fontId="110" fillId="4" borderId="5" xfId="2" applyNumberFormat="1" applyFont="1" applyFill="1" applyBorder="1" applyAlignment="1">
      <alignment vertical="center"/>
    </xf>
    <xf numFmtId="0" fontId="146" fillId="4" borderId="5" xfId="0" applyFont="1" applyFill="1" applyBorder="1" applyAlignment="1">
      <alignment vertical="center" wrapText="1"/>
    </xf>
    <xf numFmtId="175" fontId="99" fillId="4" borderId="5" xfId="20" applyNumberFormat="1" applyFont="1" applyFill="1" applyBorder="1" applyAlignment="1">
      <alignment horizontal="justify" vertical="center" wrapText="1"/>
    </xf>
    <xf numFmtId="172" fontId="110" fillId="4" borderId="5" xfId="2" applyNumberFormat="1" applyFont="1" applyFill="1" applyBorder="1" applyAlignment="1">
      <alignment horizontal="right" vertical="center"/>
    </xf>
    <xf numFmtId="172" fontId="99" fillId="5" borderId="5" xfId="2" applyNumberFormat="1" applyFont="1" applyFill="1" applyBorder="1" applyAlignment="1">
      <alignment vertical="center" wrapText="1"/>
    </xf>
    <xf numFmtId="3" fontId="99" fillId="4" borderId="5" xfId="0" applyNumberFormat="1" applyFont="1" applyFill="1" applyBorder="1" applyAlignment="1">
      <alignment vertical="center" wrapText="1"/>
    </xf>
    <xf numFmtId="172" fontId="99" fillId="4" borderId="3" xfId="2" applyNumberFormat="1" applyFont="1" applyFill="1" applyBorder="1" applyAlignment="1">
      <alignment horizontal="right" vertical="center" wrapText="1"/>
    </xf>
    <xf numFmtId="172" fontId="110" fillId="4" borderId="5" xfId="2" applyNumberFormat="1" applyFont="1" applyFill="1" applyBorder="1" applyAlignment="1">
      <alignment horizontal="center" vertical="center"/>
    </xf>
    <xf numFmtId="0" fontId="140" fillId="4" borderId="5" xfId="0" applyFont="1" applyFill="1" applyBorder="1" applyAlignment="1">
      <alignment horizontal="center" vertical="center"/>
    </xf>
    <xf numFmtId="0" fontId="140" fillId="4" borderId="5" xfId="0" applyFont="1" applyFill="1" applyBorder="1" applyAlignment="1">
      <alignment horizontal="justify" vertical="center" wrapText="1"/>
    </xf>
    <xf numFmtId="172" fontId="140" fillId="4" borderId="5" xfId="2" applyNumberFormat="1" applyFont="1" applyFill="1" applyBorder="1" applyAlignment="1">
      <alignment horizontal="right" vertical="center" wrapText="1"/>
    </xf>
    <xf numFmtId="172" fontId="140" fillId="4" borderId="5" xfId="2" applyNumberFormat="1" applyFont="1" applyFill="1" applyBorder="1" applyAlignment="1">
      <alignment vertical="center" wrapText="1"/>
    </xf>
    <xf numFmtId="0" fontId="140" fillId="4" borderId="0" xfId="0" applyFont="1" applyFill="1" applyAlignment="1">
      <alignment horizontal="justify"/>
    </xf>
    <xf numFmtId="0" fontId="110" fillId="4" borderId="5" xfId="0" applyFont="1" applyFill="1" applyBorder="1" applyAlignment="1">
      <alignment vertical="center" wrapText="1"/>
    </xf>
    <xf numFmtId="175" fontId="99" fillId="4" borderId="5" xfId="2" applyNumberFormat="1" applyFont="1" applyFill="1" applyBorder="1" applyAlignment="1">
      <alignment vertical="center" wrapText="1"/>
    </xf>
    <xf numFmtId="3" fontId="99" fillId="4" borderId="5" xfId="2" applyNumberFormat="1" applyFont="1" applyFill="1" applyBorder="1" applyAlignment="1">
      <alignment horizontal="right" vertical="center" wrapText="1"/>
    </xf>
    <xf numFmtId="175" fontId="110" fillId="4" borderId="5" xfId="2" applyNumberFormat="1" applyFont="1" applyFill="1" applyBorder="1" applyAlignment="1">
      <alignment vertical="center"/>
    </xf>
    <xf numFmtId="3" fontId="110" fillId="4" borderId="5" xfId="2" applyNumberFormat="1" applyFont="1" applyFill="1" applyBorder="1" applyAlignment="1">
      <alignment horizontal="right" vertical="center" wrapText="1"/>
    </xf>
    <xf numFmtId="175" fontId="110" fillId="4" borderId="5" xfId="2" applyNumberFormat="1" applyFont="1" applyFill="1" applyBorder="1" applyAlignment="1">
      <alignment horizontal="right" vertical="center"/>
    </xf>
    <xf numFmtId="175" fontId="110" fillId="4" borderId="5" xfId="2" applyNumberFormat="1" applyFont="1" applyFill="1" applyBorder="1" applyAlignment="1">
      <alignment vertical="center" wrapText="1"/>
    </xf>
    <xf numFmtId="172" fontId="147" fillId="4" borderId="5" xfId="2" applyNumberFormat="1" applyFont="1" applyFill="1" applyBorder="1" applyAlignment="1">
      <alignment horizontal="center" vertical="center"/>
    </xf>
    <xf numFmtId="0" fontId="147" fillId="4" borderId="5" xfId="0" applyFont="1" applyFill="1" applyBorder="1" applyAlignment="1">
      <alignment vertical="center" wrapText="1"/>
    </xf>
    <xf numFmtId="0" fontId="147" fillId="4" borderId="0" xfId="0" applyFont="1" applyFill="1" applyAlignment="1">
      <alignment horizontal="justify"/>
    </xf>
    <xf numFmtId="0" fontId="99" fillId="4" borderId="5" xfId="0" applyFont="1" applyFill="1" applyBorder="1" applyAlignment="1">
      <alignment vertical="center"/>
    </xf>
    <xf numFmtId="3" fontId="99" fillId="4" borderId="5" xfId="0" applyNumberFormat="1" applyFont="1" applyFill="1" applyBorder="1" applyAlignment="1">
      <alignment vertical="center"/>
    </xf>
    <xf numFmtId="175" fontId="148" fillId="4" borderId="5" xfId="2" applyNumberFormat="1" applyFont="1" applyFill="1" applyBorder="1" applyAlignment="1">
      <alignment horizontal="right" vertical="center"/>
    </xf>
    <xf numFmtId="0" fontId="149" fillId="4" borderId="0" xfId="0" applyFont="1" applyFill="1" applyAlignment="1">
      <alignment horizontal="justify"/>
    </xf>
    <xf numFmtId="3" fontId="99" fillId="4" borderId="5" xfId="2" applyNumberFormat="1" applyFont="1" applyFill="1" applyBorder="1" applyAlignment="1">
      <alignment horizontal="right" vertical="center"/>
    </xf>
    <xf numFmtId="0" fontId="140" fillId="4" borderId="5" xfId="0" applyFont="1" applyFill="1" applyBorder="1" applyAlignment="1">
      <alignment vertical="center" wrapText="1"/>
    </xf>
    <xf numFmtId="172" fontId="140" fillId="4" borderId="5" xfId="2" applyNumberFormat="1" applyFont="1" applyFill="1" applyBorder="1" applyAlignment="1">
      <alignment vertical="center"/>
    </xf>
    <xf numFmtId="175" fontId="140" fillId="4" borderId="5" xfId="2" applyNumberFormat="1" applyFont="1" applyFill="1" applyBorder="1" applyAlignment="1">
      <alignment vertical="center"/>
    </xf>
    <xf numFmtId="175" fontId="140" fillId="4" borderId="5" xfId="2" applyNumberFormat="1" applyFont="1" applyFill="1" applyBorder="1" applyAlignment="1">
      <alignment horizontal="right" vertical="center" wrapText="1"/>
    </xf>
    <xf numFmtId="3" fontId="140" fillId="4" borderId="5" xfId="2" applyNumberFormat="1" applyFont="1" applyFill="1" applyBorder="1" applyAlignment="1">
      <alignment horizontal="right" vertical="center" wrapText="1"/>
    </xf>
    <xf numFmtId="175" fontId="140" fillId="4" borderId="5" xfId="2" applyNumberFormat="1" applyFont="1" applyFill="1" applyBorder="1" applyAlignment="1">
      <alignment horizontal="right" vertical="center"/>
    </xf>
    <xf numFmtId="172" fontId="140" fillId="4" borderId="5" xfId="0" applyNumberFormat="1" applyFont="1" applyFill="1" applyBorder="1" applyAlignment="1">
      <alignment horizontal="right" vertical="center" wrapText="1"/>
    </xf>
    <xf numFmtId="0" fontId="99" fillId="4" borderId="0" xfId="0" applyFont="1" applyFill="1" applyAlignment="1">
      <alignment horizontal="justify" vertical="center"/>
    </xf>
    <xf numFmtId="175" fontId="99" fillId="4" borderId="9" xfId="2" applyNumberFormat="1" applyFont="1" applyFill="1" applyBorder="1" applyAlignment="1">
      <alignment horizontal="right" vertical="center"/>
    </xf>
    <xf numFmtId="3" fontId="99" fillId="4" borderId="5" xfId="2" applyNumberFormat="1" applyFont="1" applyFill="1" applyBorder="1" applyAlignment="1">
      <alignment vertical="center"/>
    </xf>
    <xf numFmtId="168" fontId="99" fillId="4" borderId="5" xfId="0" applyNumberFormat="1" applyFont="1" applyFill="1" applyBorder="1" applyAlignment="1">
      <alignment horizontal="justify" vertical="center" wrapText="1"/>
    </xf>
    <xf numFmtId="3" fontId="99" fillId="4" borderId="5" xfId="0" applyNumberFormat="1" applyFont="1" applyFill="1" applyBorder="1" applyAlignment="1">
      <alignment horizontal="right" vertical="center"/>
    </xf>
    <xf numFmtId="172" fontId="99" fillId="4" borderId="9" xfId="2" applyNumberFormat="1" applyFont="1" applyFill="1" applyBorder="1" applyAlignment="1">
      <alignment horizontal="right" vertical="center" wrapText="1"/>
    </xf>
    <xf numFmtId="0" fontId="99" fillId="4" borderId="6" xfId="0" applyFont="1" applyFill="1" applyBorder="1" applyAlignment="1">
      <alignment horizontal="center" vertical="center"/>
    </xf>
    <xf numFmtId="0" fontId="99" fillId="4" borderId="6" xfId="0" applyFont="1" applyFill="1" applyBorder="1" applyAlignment="1">
      <alignment horizontal="justify" vertical="center" wrapText="1"/>
    </xf>
    <xf numFmtId="172" fontId="99" fillId="4" borderId="6" xfId="2" applyNumberFormat="1" applyFont="1" applyFill="1" applyBorder="1" applyAlignment="1">
      <alignment vertical="center" wrapText="1"/>
    </xf>
    <xf numFmtId="172" fontId="99" fillId="4" borderId="6" xfId="2" applyNumberFormat="1" applyFont="1" applyFill="1" applyBorder="1" applyAlignment="1">
      <alignment horizontal="right" vertical="center" wrapText="1"/>
    </xf>
    <xf numFmtId="0" fontId="69" fillId="4" borderId="0" xfId="0" applyFont="1" applyFill="1" applyAlignment="1">
      <alignment horizontal="center"/>
    </xf>
    <xf numFmtId="175" fontId="61" fillId="4" borderId="0" xfId="2" applyNumberFormat="1" applyFont="1" applyFill="1" applyAlignment="1"/>
    <xf numFmtId="179" fontId="46" fillId="4" borderId="13" xfId="2" applyNumberFormat="1" applyFont="1" applyFill="1" applyBorder="1" applyAlignment="1">
      <alignment horizontal="center"/>
    </xf>
    <xf numFmtId="179" fontId="39" fillId="4" borderId="0" xfId="0" applyNumberFormat="1" applyFont="1" applyFill="1"/>
    <xf numFmtId="186" fontId="53" fillId="4" borderId="0" xfId="0" applyNumberFormat="1" applyFont="1" applyFill="1"/>
    <xf numFmtId="179" fontId="56" fillId="4" borderId="0" xfId="2" applyNumberFormat="1" applyFont="1" applyFill="1" applyBorder="1" applyAlignment="1">
      <alignment horizontal="center" wrapText="1"/>
    </xf>
    <xf numFmtId="171" fontId="52" fillId="4" borderId="0" xfId="2" applyNumberFormat="1" applyFont="1" applyFill="1" applyBorder="1" applyAlignment="1">
      <alignment horizontal="center" wrapText="1"/>
    </xf>
    <xf numFmtId="184" fontId="54" fillId="4" borderId="0" xfId="0" applyNumberFormat="1" applyFont="1" applyFill="1"/>
    <xf numFmtId="184" fontId="51" fillId="4" borderId="0" xfId="0" applyNumberFormat="1" applyFont="1" applyFill="1"/>
    <xf numFmtId="170" fontId="54" fillId="4" borderId="0" xfId="2" applyFont="1" applyFill="1" applyBorder="1" applyAlignment="1">
      <alignment wrapText="1"/>
    </xf>
    <xf numFmtId="177" fontId="51" fillId="4" borderId="0" xfId="2" applyNumberFormat="1" applyFont="1" applyFill="1"/>
    <xf numFmtId="177" fontId="51" fillId="4" borderId="0" xfId="0" applyNumberFormat="1" applyFont="1" applyFill="1"/>
    <xf numFmtId="179" fontId="44" fillId="4" borderId="0" xfId="2" applyNumberFormat="1" applyFont="1" applyFill="1"/>
    <xf numFmtId="179" fontId="44" fillId="4" borderId="0" xfId="2" applyNumberFormat="1" applyFont="1" applyFill="1" applyAlignment="1">
      <alignment horizontal="center"/>
    </xf>
    <xf numFmtId="0" fontId="48" fillId="4" borderId="0" xfId="0" applyFont="1" applyFill="1" applyAlignment="1">
      <alignment horizontal="center" vertical="center" wrapText="1"/>
    </xf>
    <xf numFmtId="3" fontId="46" fillId="4" borderId="0" xfId="0" applyNumberFormat="1" applyFont="1" applyFill="1" applyAlignment="1">
      <alignment horizontal="center"/>
    </xf>
    <xf numFmtId="179" fontId="99" fillId="4" borderId="0" xfId="2" applyNumberFormat="1" applyFont="1" applyFill="1"/>
    <xf numFmtId="179" fontId="99" fillId="4" borderId="13" xfId="2" applyNumberFormat="1" applyFont="1" applyFill="1" applyBorder="1" applyAlignment="1"/>
    <xf numFmtId="171" fontId="61" fillId="4" borderId="0" xfId="2" applyNumberFormat="1" applyFont="1" applyFill="1"/>
    <xf numFmtId="179" fontId="99" fillId="4" borderId="13" xfId="2" applyNumberFormat="1" applyFont="1" applyFill="1" applyBorder="1" applyAlignment="1">
      <alignment horizontal="center"/>
    </xf>
    <xf numFmtId="179" fontId="99" fillId="4" borderId="13" xfId="2" applyNumberFormat="1" applyFont="1" applyFill="1" applyBorder="1"/>
    <xf numFmtId="186" fontId="110" fillId="4" borderId="13" xfId="0" applyNumberFormat="1" applyFont="1" applyFill="1" applyBorder="1"/>
    <xf numFmtId="181" fontId="99" fillId="4" borderId="13" xfId="2" applyNumberFormat="1" applyFont="1" applyFill="1" applyBorder="1"/>
    <xf numFmtId="179" fontId="61" fillId="4" borderId="13" xfId="2" applyNumberFormat="1" applyFont="1" applyFill="1" applyBorder="1" applyAlignment="1">
      <alignment horizontal="center"/>
    </xf>
    <xf numFmtId="174" fontId="61" fillId="4" borderId="13" xfId="2" applyNumberFormat="1" applyFont="1" applyFill="1" applyBorder="1" applyAlignment="1"/>
    <xf numFmtId="172" fontId="61" fillId="4" borderId="13" xfId="2" applyNumberFormat="1" applyFont="1" applyFill="1" applyBorder="1" applyAlignment="1"/>
    <xf numFmtId="3" fontId="140" fillId="4" borderId="3" xfId="2" applyNumberFormat="1" applyFont="1" applyFill="1" applyBorder="1" applyAlignment="1">
      <alignment horizontal="center" vertical="center" wrapText="1"/>
    </xf>
    <xf numFmtId="172" fontId="140" fillId="4" borderId="3" xfId="2" applyNumberFormat="1" applyFont="1" applyFill="1" applyBorder="1" applyAlignment="1">
      <alignment horizontal="center" vertical="center" wrapText="1"/>
    </xf>
    <xf numFmtId="37" fontId="140" fillId="4" borderId="3" xfId="2" applyNumberFormat="1" applyFont="1" applyFill="1" applyBorder="1" applyAlignment="1">
      <alignment horizontal="center" vertical="center" wrapText="1"/>
    </xf>
    <xf numFmtId="37" fontId="140" fillId="4" borderId="21" xfId="2" applyNumberFormat="1" applyFont="1" applyFill="1" applyBorder="1" applyAlignment="1">
      <alignment horizontal="center" vertical="center" wrapText="1"/>
    </xf>
    <xf numFmtId="172" fontId="140" fillId="4" borderId="0" xfId="2" applyNumberFormat="1" applyFont="1" applyFill="1" applyAlignment="1">
      <alignment horizontal="center"/>
    </xf>
    <xf numFmtId="3" fontId="45" fillId="4" borderId="0" xfId="0" applyNumberFormat="1" applyFont="1" applyFill="1" applyAlignment="1">
      <alignment horizontal="center" vertical="center"/>
    </xf>
    <xf numFmtId="172" fontId="49" fillId="4" borderId="0" xfId="2" applyNumberFormat="1" applyFont="1" applyFill="1" applyBorder="1" applyAlignment="1">
      <alignment vertical="center" wrapText="1"/>
    </xf>
    <xf numFmtId="3" fontId="86" fillId="4" borderId="0" xfId="0" applyNumberFormat="1" applyFont="1" applyFill="1" applyAlignment="1">
      <alignment horizontal="center"/>
    </xf>
    <xf numFmtId="179" fontId="86" fillId="4" borderId="0" xfId="2" applyNumberFormat="1" applyFont="1" applyFill="1"/>
    <xf numFmtId="172" fontId="85" fillId="4" borderId="0" xfId="2" applyNumberFormat="1" applyFont="1" applyFill="1" applyAlignment="1">
      <alignment vertical="center" wrapText="1"/>
    </xf>
    <xf numFmtId="0" fontId="150" fillId="4" borderId="3" xfId="0" applyFont="1" applyFill="1" applyBorder="1" applyAlignment="1">
      <alignment horizontal="center" vertical="center" wrapText="1"/>
    </xf>
    <xf numFmtId="176" fontId="47" fillId="4" borderId="0" xfId="0" applyNumberFormat="1" applyFont="1" applyFill="1"/>
    <xf numFmtId="179" fontId="47" fillId="4" borderId="0" xfId="0" applyNumberFormat="1" applyFont="1" applyFill="1"/>
    <xf numFmtId="0" fontId="151" fillId="4" borderId="0" xfId="0" applyFont="1" applyFill="1"/>
    <xf numFmtId="0" fontId="154" fillId="4" borderId="0" xfId="0" applyFont="1" applyFill="1"/>
    <xf numFmtId="179" fontId="46" fillId="4" borderId="0" xfId="0" applyNumberFormat="1" applyFont="1" applyFill="1" applyAlignment="1">
      <alignment horizontal="center" vertical="center" wrapText="1"/>
    </xf>
    <xf numFmtId="170" fontId="48" fillId="4" borderId="0" xfId="2" applyFont="1" applyFill="1" applyBorder="1" applyAlignment="1">
      <alignment horizontal="center" vertical="center" wrapText="1"/>
    </xf>
    <xf numFmtId="179" fontId="48" fillId="4" borderId="0" xfId="2" applyNumberFormat="1" applyFont="1" applyFill="1" applyBorder="1" applyAlignment="1">
      <alignment horizontal="center" vertical="center" wrapText="1"/>
    </xf>
    <xf numFmtId="179" fontId="48" fillId="4" borderId="0" xfId="2" applyNumberFormat="1" applyFont="1" applyFill="1" applyAlignment="1">
      <alignment horizontal="center" vertical="center" wrapText="1"/>
    </xf>
    <xf numFmtId="186" fontId="46" fillId="4" borderId="0" xfId="0" applyNumberFormat="1" applyFont="1" applyFill="1" applyAlignment="1">
      <alignment horizontal="center" vertical="center" wrapText="1"/>
    </xf>
    <xf numFmtId="186" fontId="46" fillId="0" borderId="0" xfId="0" applyNumberFormat="1" applyFont="1" applyAlignment="1">
      <alignment horizontal="center" vertical="center" wrapText="1"/>
    </xf>
    <xf numFmtId="179" fontId="46" fillId="0" borderId="0" xfId="0" applyNumberFormat="1" applyFont="1" applyAlignment="1">
      <alignment horizontal="center" vertical="center" wrapText="1"/>
    </xf>
    <xf numFmtId="179" fontId="49" fillId="4" borderId="0" xfId="2" applyNumberFormat="1" applyFont="1" applyFill="1" applyAlignment="1">
      <alignment horizontal="center" vertical="center" wrapText="1"/>
    </xf>
    <xf numFmtId="186" fontId="45" fillId="4" borderId="0" xfId="0" applyNumberFormat="1" applyFont="1" applyFill="1" applyAlignment="1">
      <alignment horizontal="center" vertical="center" wrapText="1"/>
    </xf>
    <xf numFmtId="0" fontId="49" fillId="0" borderId="3" xfId="0" applyFont="1" applyBorder="1" applyAlignment="1">
      <alignment horizontal="center" vertical="center" wrapText="1"/>
    </xf>
    <xf numFmtId="186" fontId="150" fillId="4" borderId="0" xfId="0" applyNumberFormat="1" applyFont="1" applyFill="1" applyAlignment="1">
      <alignment horizontal="center" vertical="center" wrapText="1"/>
    </xf>
    <xf numFmtId="179" fontId="150" fillId="4" borderId="0" xfId="2" applyNumberFormat="1" applyFont="1" applyFill="1" applyBorder="1" applyAlignment="1">
      <alignment horizontal="center" vertical="center" wrapText="1"/>
    </xf>
    <xf numFmtId="0" fontId="150" fillId="4" borderId="0" xfId="0" applyFont="1" applyFill="1" applyAlignment="1">
      <alignment horizontal="center" vertical="center" wrapText="1"/>
    </xf>
    <xf numFmtId="0" fontId="48" fillId="4" borderId="4" xfId="0" applyFont="1" applyFill="1" applyBorder="1" applyAlignment="1">
      <alignment horizontal="center" vertical="center" wrapText="1"/>
    </xf>
    <xf numFmtId="182" fontId="48" fillId="0" borderId="4" xfId="2" applyNumberFormat="1" applyFont="1" applyFill="1" applyBorder="1" applyAlignment="1">
      <alignment horizontal="right" vertical="center" wrapText="1"/>
    </xf>
    <xf numFmtId="182" fontId="48" fillId="0" borderId="5" xfId="2" applyNumberFormat="1" applyFont="1" applyFill="1" applyBorder="1" applyAlignment="1">
      <alignment horizontal="right" vertical="center" wrapText="1"/>
    </xf>
    <xf numFmtId="182" fontId="48" fillId="4" borderId="5" xfId="2" applyNumberFormat="1" applyFont="1" applyFill="1" applyBorder="1" applyAlignment="1">
      <alignment horizontal="right" vertical="center" wrapText="1"/>
    </xf>
    <xf numFmtId="182" fontId="45" fillId="0" borderId="5" xfId="2" applyNumberFormat="1" applyFont="1" applyFill="1" applyBorder="1" applyAlignment="1">
      <alignment horizontal="right" vertical="center" wrapText="1"/>
    </xf>
    <xf numFmtId="182" fontId="45" fillId="4" borderId="5" xfId="2" applyNumberFormat="1" applyFont="1" applyFill="1" applyBorder="1" applyAlignment="1">
      <alignment horizontal="right" vertical="center" wrapText="1"/>
    </xf>
    <xf numFmtId="0" fontId="45" fillId="0" borderId="5" xfId="0" applyFont="1" applyBorder="1" applyAlignment="1">
      <alignment horizontal="left" vertical="center" wrapText="1"/>
    </xf>
    <xf numFmtId="171" fontId="46" fillId="4" borderId="0" xfId="2" applyNumberFormat="1" applyFont="1" applyFill="1" applyAlignment="1">
      <alignment horizontal="center" vertical="center" wrapText="1"/>
    </xf>
    <xf numFmtId="179" fontId="49" fillId="4" borderId="0" xfId="2" applyNumberFormat="1" applyFont="1" applyFill="1" applyBorder="1" applyAlignment="1">
      <alignment horizontal="center" vertical="center" wrapText="1"/>
    </xf>
    <xf numFmtId="170" fontId="46" fillId="4" borderId="0" xfId="2" applyFont="1" applyFill="1" applyAlignment="1">
      <alignment horizontal="center" vertical="center" wrapText="1"/>
    </xf>
    <xf numFmtId="179" fontId="46" fillId="0" borderId="0" xfId="2" applyNumberFormat="1" applyFont="1" applyFill="1" applyAlignment="1">
      <alignment horizontal="center" vertical="center" wrapText="1"/>
    </xf>
    <xf numFmtId="179" fontId="46" fillId="4" borderId="0" xfId="2" applyNumberFormat="1" applyFont="1" applyFill="1" applyAlignment="1">
      <alignment horizontal="center" vertical="center" wrapText="1"/>
    </xf>
    <xf numFmtId="179" fontId="50" fillId="4" borderId="0" xfId="2" applyNumberFormat="1" applyFont="1" applyFill="1" applyAlignment="1">
      <alignment horizontal="center" vertical="center" wrapText="1"/>
    </xf>
    <xf numFmtId="178" fontId="154" fillId="4" borderId="0" xfId="2" applyNumberFormat="1" applyFont="1" applyFill="1"/>
    <xf numFmtId="176" fontId="154" fillId="4" borderId="0" xfId="0" applyNumberFormat="1" applyFont="1" applyFill="1"/>
    <xf numFmtId="179" fontId="154" fillId="4" borderId="0" xfId="2" applyNumberFormat="1" applyFont="1" applyFill="1"/>
    <xf numFmtId="179" fontId="141" fillId="4" borderId="0" xfId="2" applyNumberFormat="1" applyFont="1" applyFill="1" applyAlignment="1">
      <alignment horizontal="center" vertical="center"/>
    </xf>
    <xf numFmtId="179" fontId="141" fillId="4" borderId="0" xfId="2" applyNumberFormat="1" applyFont="1" applyFill="1"/>
    <xf numFmtId="0" fontId="141" fillId="4" borderId="0" xfId="0" applyFont="1" applyFill="1" applyAlignment="1">
      <alignment horizontal="center" vertical="center"/>
    </xf>
    <xf numFmtId="178" fontId="141" fillId="4" borderId="0" xfId="2" applyNumberFormat="1" applyFont="1" applyFill="1" applyAlignment="1">
      <alignment horizontal="center" vertical="center"/>
    </xf>
    <xf numFmtId="0" fontId="141" fillId="4" borderId="0" xfId="0" applyFont="1" applyFill="1"/>
    <xf numFmtId="0" fontId="117" fillId="4" borderId="0" xfId="0" applyFont="1" applyFill="1"/>
    <xf numFmtId="171" fontId="46" fillId="4" borderId="0" xfId="2" applyNumberFormat="1" applyFont="1" applyFill="1"/>
    <xf numFmtId="0" fontId="110" fillId="4" borderId="3" xfId="0" applyFont="1" applyFill="1" applyBorder="1" applyAlignment="1">
      <alignment horizontal="center" vertical="center" wrapText="1"/>
    </xf>
    <xf numFmtId="0" fontId="142" fillId="4" borderId="3" xfId="0" applyFont="1" applyFill="1" applyBorder="1" applyAlignment="1">
      <alignment horizontal="center" vertical="center" wrapText="1"/>
    </xf>
    <xf numFmtId="186" fontId="158" fillId="4" borderId="0" xfId="0" applyNumberFormat="1" applyFont="1" applyFill="1"/>
    <xf numFmtId="186" fontId="157" fillId="4" borderId="0" xfId="0" applyNumberFormat="1" applyFont="1" applyFill="1"/>
    <xf numFmtId="0" fontId="157" fillId="4" borderId="0" xfId="0" applyFont="1" applyFill="1"/>
    <xf numFmtId="179" fontId="151" fillId="4" borderId="0" xfId="2" applyNumberFormat="1" applyFont="1" applyFill="1" applyBorder="1"/>
    <xf numFmtId="179" fontId="151" fillId="4" borderId="0" xfId="2" applyNumberFormat="1" applyFont="1" applyFill="1"/>
    <xf numFmtId="179" fontId="151" fillId="4" borderId="3" xfId="2" applyNumberFormat="1" applyFont="1" applyFill="1" applyBorder="1" applyAlignment="1">
      <alignment horizontal="center" vertical="center" wrapText="1"/>
    </xf>
    <xf numFmtId="177" fontId="158" fillId="4" borderId="0" xfId="2" applyNumberFormat="1" applyFont="1" applyFill="1" applyBorder="1" applyAlignment="1">
      <alignment horizontal="center" vertical="center" wrapText="1"/>
    </xf>
    <xf numFmtId="171" fontId="154" fillId="4" borderId="0" xfId="2" applyNumberFormat="1" applyFont="1" applyFill="1"/>
    <xf numFmtId="177" fontId="151" fillId="4" borderId="3" xfId="2" applyNumberFormat="1" applyFont="1" applyFill="1" applyBorder="1" applyAlignment="1">
      <alignment horizontal="center" vertical="center" wrapText="1"/>
    </xf>
    <xf numFmtId="179" fontId="157" fillId="4" borderId="10" xfId="2" applyNumberFormat="1" applyFont="1" applyFill="1" applyBorder="1" applyAlignment="1">
      <alignment horizontal="center" vertical="center" wrapText="1"/>
    </xf>
    <xf numFmtId="179" fontId="158" fillId="4" borderId="0" xfId="2" applyNumberFormat="1" applyFont="1" applyFill="1" applyBorder="1" applyAlignment="1">
      <alignment horizontal="center" vertical="center" wrapText="1"/>
    </xf>
    <xf numFmtId="171" fontId="151" fillId="4" borderId="0" xfId="2" applyNumberFormat="1" applyFont="1" applyFill="1"/>
    <xf numFmtId="177" fontId="151" fillId="4" borderId="0" xfId="2" applyNumberFormat="1" applyFont="1" applyFill="1" applyBorder="1"/>
    <xf numFmtId="177" fontId="151" fillId="4" borderId="0" xfId="2" applyNumberFormat="1" applyFont="1" applyFill="1"/>
    <xf numFmtId="177" fontId="154" fillId="4" borderId="0" xfId="2" applyNumberFormat="1" applyFont="1" applyFill="1"/>
    <xf numFmtId="174" fontId="154" fillId="4" borderId="0" xfId="2" applyNumberFormat="1" applyFont="1" applyFill="1"/>
    <xf numFmtId="174" fontId="151" fillId="4" borderId="3" xfId="2" applyNumberFormat="1" applyFont="1" applyFill="1" applyBorder="1" applyAlignment="1">
      <alignment horizontal="center" vertical="center" wrapText="1"/>
    </xf>
    <xf numFmtId="0" fontId="158" fillId="4" borderId="0" xfId="0" applyFont="1" applyFill="1"/>
    <xf numFmtId="0" fontId="155" fillId="4" borderId="0" xfId="0" applyFont="1" applyFill="1" applyAlignment="1">
      <alignment horizontal="left"/>
    </xf>
    <xf numFmtId="174" fontId="151" fillId="4" borderId="0" xfId="2" applyNumberFormat="1" applyFont="1" applyFill="1"/>
    <xf numFmtId="0" fontId="153" fillId="4" borderId="0" xfId="0" applyFont="1" applyFill="1" applyAlignment="1">
      <alignment horizontal="left" vertical="center"/>
    </xf>
    <xf numFmtId="170" fontId="51" fillId="0" borderId="0" xfId="2" applyFont="1" applyFill="1" applyAlignment="1">
      <alignment horizontal="center" vertical="center" wrapText="1"/>
    </xf>
    <xf numFmtId="170" fontId="3" fillId="0" borderId="0" xfId="2" applyFont="1" applyFill="1" applyBorder="1" applyAlignment="1">
      <alignment vertical="center" wrapText="1"/>
    </xf>
    <xf numFmtId="0" fontId="54" fillId="0" borderId="0" xfId="0" applyFont="1" applyAlignment="1">
      <alignment horizontal="center" vertical="center" wrapText="1"/>
    </xf>
    <xf numFmtId="185" fontId="46" fillId="0" borderId="5" xfId="2" applyNumberFormat="1" applyFont="1" applyFill="1" applyBorder="1" applyAlignment="1">
      <alignment horizontal="right" vertical="center" wrapText="1"/>
    </xf>
    <xf numFmtId="0" fontId="23" fillId="0" borderId="21" xfId="0" applyFont="1" applyBorder="1" applyAlignment="1">
      <alignment horizontal="center" vertical="center" wrapText="1"/>
    </xf>
    <xf numFmtId="170" fontId="23" fillId="0" borderId="21" xfId="2" applyFont="1" applyFill="1" applyBorder="1" applyAlignment="1">
      <alignment horizontal="center" vertical="center" wrapText="1"/>
    </xf>
    <xf numFmtId="0" fontId="71" fillId="0" borderId="25" xfId="2" applyNumberFormat="1" applyFont="1" applyFill="1" applyBorder="1" applyAlignment="1">
      <alignment horizontal="center" vertical="center" wrapText="1"/>
    </xf>
    <xf numFmtId="172" fontId="99" fillId="4" borderId="0" xfId="0" applyNumberFormat="1" applyFont="1" applyFill="1" applyAlignment="1">
      <alignment horizontal="justify"/>
    </xf>
    <xf numFmtId="0" fontId="99" fillId="5" borderId="5" xfId="0" applyFont="1" applyFill="1" applyBorder="1" applyAlignment="1">
      <alignment horizontal="center" vertical="center"/>
    </xf>
    <xf numFmtId="0" fontId="99" fillId="5" borderId="5" xfId="0" applyFont="1" applyFill="1" applyBorder="1" applyAlignment="1">
      <alignment vertical="center" wrapText="1"/>
    </xf>
    <xf numFmtId="172" fontId="99" fillId="5" borderId="5" xfId="2" applyNumberFormat="1" applyFont="1" applyFill="1" applyBorder="1" applyAlignment="1">
      <alignment horizontal="right" vertical="center" wrapText="1"/>
    </xf>
    <xf numFmtId="172" fontId="99" fillId="5" borderId="5" xfId="2" applyNumberFormat="1" applyFont="1" applyFill="1" applyBorder="1" applyAlignment="1">
      <alignment vertical="center"/>
    </xf>
    <xf numFmtId="172" fontId="99" fillId="5" borderId="5" xfId="2" applyNumberFormat="1" applyFont="1" applyFill="1" applyBorder="1" applyAlignment="1">
      <alignment horizontal="right" vertical="center"/>
    </xf>
    <xf numFmtId="175" fontId="99" fillId="5" borderId="5" xfId="2" applyNumberFormat="1" applyFont="1" applyFill="1" applyBorder="1" applyAlignment="1">
      <alignment vertical="center"/>
    </xf>
    <xf numFmtId="3" fontId="99" fillId="5" borderId="5" xfId="20" applyNumberFormat="1" applyFont="1" applyFill="1" applyBorder="1" applyAlignment="1">
      <alignment horizontal="right" vertical="center"/>
    </xf>
    <xf numFmtId="191" fontId="99" fillId="5" borderId="5" xfId="2" applyNumberFormat="1" applyFont="1" applyFill="1" applyBorder="1" applyAlignment="1">
      <alignment horizontal="right" vertical="center"/>
    </xf>
    <xf numFmtId="175" fontId="99" fillId="5" borderId="5" xfId="2" applyNumberFormat="1" applyFont="1" applyFill="1" applyBorder="1" applyAlignment="1">
      <alignment horizontal="right" vertical="center"/>
    </xf>
    <xf numFmtId="172" fontId="99" fillId="5" borderId="0" xfId="0" applyNumberFormat="1" applyFont="1" applyFill="1" applyAlignment="1">
      <alignment horizontal="justify"/>
    </xf>
    <xf numFmtId="0" fontId="99" fillId="5" borderId="0" xfId="0" applyFont="1" applyFill="1" applyAlignment="1">
      <alignment horizontal="justify"/>
    </xf>
    <xf numFmtId="0" fontId="162" fillId="4" borderId="3" xfId="0" applyFont="1" applyFill="1" applyBorder="1" applyAlignment="1">
      <alignment horizontal="center" vertical="center" wrapText="1"/>
    </xf>
    <xf numFmtId="172" fontId="162" fillId="4" borderId="3" xfId="2" applyNumberFormat="1" applyFont="1" applyFill="1" applyBorder="1" applyAlignment="1">
      <alignment vertical="center" wrapText="1"/>
    </xf>
    <xf numFmtId="0" fontId="162" fillId="4" borderId="0" xfId="0" applyFont="1" applyFill="1"/>
    <xf numFmtId="181" fontId="141" fillId="4" borderId="0" xfId="2" applyNumberFormat="1" applyFont="1" applyFill="1" applyAlignment="1">
      <alignment horizontal="center" vertical="center"/>
    </xf>
    <xf numFmtId="172" fontId="110" fillId="4" borderId="0" xfId="0" applyNumberFormat="1" applyFont="1" applyFill="1" applyAlignment="1">
      <alignment horizontal="justify"/>
    </xf>
    <xf numFmtId="172" fontId="99" fillId="4" borderId="0" xfId="2" applyNumberFormat="1" applyFont="1" applyFill="1" applyAlignment="1">
      <alignment horizontal="justify"/>
    </xf>
    <xf numFmtId="175" fontId="99" fillId="4" borderId="0" xfId="0" applyNumberFormat="1" applyFont="1" applyFill="1" applyAlignment="1">
      <alignment horizontal="justify"/>
    </xf>
    <xf numFmtId="172" fontId="110" fillId="6" borderId="5" xfId="2" applyNumberFormat="1" applyFont="1" applyFill="1" applyBorder="1" applyAlignment="1">
      <alignment horizontal="right" vertical="center" wrapText="1"/>
    </xf>
    <xf numFmtId="172" fontId="140" fillId="5" borderId="5" xfId="2" applyNumberFormat="1" applyFont="1" applyFill="1" applyBorder="1" applyAlignment="1">
      <alignment vertical="center" wrapText="1"/>
    </xf>
    <xf numFmtId="170" fontId="110" fillId="4" borderId="0" xfId="0" applyNumberFormat="1" applyFont="1" applyFill="1" applyAlignment="1">
      <alignment horizontal="justify"/>
    </xf>
    <xf numFmtId="170" fontId="110" fillId="4" borderId="0" xfId="2" applyFont="1" applyFill="1" applyBorder="1" applyAlignment="1">
      <alignment horizontal="right" vertical="center" wrapText="1"/>
    </xf>
    <xf numFmtId="186" fontId="141" fillId="4" borderId="0" xfId="0" applyNumberFormat="1" applyFont="1" applyFill="1" applyAlignment="1">
      <alignment horizontal="center" vertical="center"/>
    </xf>
    <xf numFmtId="0" fontId="99" fillId="9" borderId="5" xfId="0" applyFont="1" applyFill="1" applyBorder="1" applyAlignment="1">
      <alignment horizontal="center" vertical="center"/>
    </xf>
    <xf numFmtId="0" fontId="99" fillId="9" borderId="5" xfId="0" applyFont="1" applyFill="1" applyBorder="1" applyAlignment="1">
      <alignment horizontal="justify" vertical="center" wrapText="1"/>
    </xf>
    <xf numFmtId="172" fontId="99" fillId="9" borderId="5" xfId="2" applyNumberFormat="1" applyFont="1" applyFill="1" applyBorder="1" applyAlignment="1">
      <alignment vertical="center" wrapText="1"/>
    </xf>
    <xf numFmtId="172" fontId="99" fillId="9" borderId="5" xfId="2" applyNumberFormat="1" applyFont="1" applyFill="1" applyBorder="1" applyAlignment="1">
      <alignment horizontal="right" vertical="center" wrapText="1"/>
    </xf>
    <xf numFmtId="0" fontId="99" fillId="9" borderId="0" xfId="0" applyFont="1" applyFill="1" applyAlignment="1">
      <alignment horizontal="justify"/>
    </xf>
    <xf numFmtId="0" fontId="99" fillId="9" borderId="5" xfId="0" applyFont="1" applyFill="1" applyBorder="1" applyAlignment="1">
      <alignment vertical="center" wrapText="1"/>
    </xf>
    <xf numFmtId="172" fontId="99" fillId="9" borderId="5" xfId="2" applyNumberFormat="1" applyFont="1" applyFill="1" applyBorder="1" applyAlignment="1">
      <alignment vertical="center"/>
    </xf>
    <xf numFmtId="172" fontId="99" fillId="9" borderId="5" xfId="2" applyNumberFormat="1" applyFont="1" applyFill="1" applyBorder="1" applyAlignment="1">
      <alignment horizontal="right" vertical="center"/>
    </xf>
    <xf numFmtId="175" fontId="99" fillId="9" borderId="5" xfId="2" applyNumberFormat="1" applyFont="1" applyFill="1" applyBorder="1" applyAlignment="1">
      <alignment vertical="center"/>
    </xf>
    <xf numFmtId="175" fontId="99" fillId="9" borderId="5" xfId="2" applyNumberFormat="1" applyFont="1" applyFill="1" applyBorder="1" applyAlignment="1">
      <alignment horizontal="right" vertical="center" wrapText="1"/>
    </xf>
    <xf numFmtId="3" fontId="99" fillId="9" borderId="5" xfId="20" applyNumberFormat="1" applyFont="1" applyFill="1" applyBorder="1" applyAlignment="1">
      <alignment horizontal="right" vertical="center"/>
    </xf>
    <xf numFmtId="191" fontId="99" fillId="9" borderId="5" xfId="2" applyNumberFormat="1" applyFont="1" applyFill="1" applyBorder="1" applyAlignment="1">
      <alignment horizontal="right" vertical="center"/>
    </xf>
    <xf numFmtId="175" fontId="99" fillId="9" borderId="5" xfId="2" applyNumberFormat="1" applyFont="1" applyFill="1" applyBorder="1" applyAlignment="1">
      <alignment horizontal="right" vertical="center"/>
    </xf>
    <xf numFmtId="186" fontId="47" fillId="4" borderId="0" xfId="0" applyNumberFormat="1" applyFont="1" applyFill="1"/>
    <xf numFmtId="189" fontId="44" fillId="4" borderId="0" xfId="0" applyNumberFormat="1" applyFont="1" applyFill="1"/>
    <xf numFmtId="0" fontId="27" fillId="0" borderId="21" xfId="0" applyFont="1" applyBorder="1" applyAlignment="1">
      <alignment horizontal="center" vertical="center" wrapText="1"/>
    </xf>
    <xf numFmtId="0" fontId="27" fillId="0" borderId="21" xfId="0" applyFont="1" applyBorder="1" applyAlignment="1">
      <alignment vertical="center" wrapText="1"/>
    </xf>
    <xf numFmtId="0" fontId="163" fillId="0" borderId="21" xfId="0" applyFont="1" applyBorder="1" applyAlignment="1">
      <alignment horizontal="center" vertical="center" wrapText="1"/>
    </xf>
    <xf numFmtId="0" fontId="163" fillId="0" borderId="21" xfId="0" applyFont="1" applyBorder="1" applyAlignment="1">
      <alignment vertical="center" wrapText="1"/>
    </xf>
    <xf numFmtId="0" fontId="47" fillId="4" borderId="21" xfId="0" applyFont="1" applyFill="1" applyBorder="1" applyAlignment="1">
      <alignment horizontal="center" wrapText="1"/>
    </xf>
    <xf numFmtId="0" fontId="47" fillId="4" borderId="21" xfId="0" applyFont="1" applyFill="1" applyBorder="1" applyAlignment="1">
      <alignment wrapText="1"/>
    </xf>
    <xf numFmtId="179" fontId="47" fillId="4" borderId="21" xfId="2" applyNumberFormat="1" applyFont="1" applyFill="1" applyBorder="1" applyAlignment="1">
      <alignment horizontal="center" wrapText="1"/>
    </xf>
    <xf numFmtId="189" fontId="47" fillId="4" borderId="21" xfId="2" applyNumberFormat="1" applyFont="1" applyFill="1" applyBorder="1" applyAlignment="1">
      <alignment horizontal="right" wrapText="1"/>
    </xf>
    <xf numFmtId="179" fontId="47" fillId="4" borderId="21" xfId="0" applyNumberFormat="1" applyFont="1" applyFill="1" applyBorder="1" applyAlignment="1">
      <alignment horizontal="center" wrapText="1"/>
    </xf>
    <xf numFmtId="170" fontId="47" fillId="4" borderId="21" xfId="2" applyFont="1" applyFill="1" applyBorder="1" applyAlignment="1">
      <alignment horizontal="center" wrapText="1"/>
    </xf>
    <xf numFmtId="0" fontId="44" fillId="4" borderId="21" xfId="0" applyFont="1" applyFill="1" applyBorder="1" applyAlignment="1">
      <alignment horizontal="center" wrapText="1"/>
    </xf>
    <xf numFmtId="0" fontId="44" fillId="4" borderId="21" xfId="0" applyFont="1" applyFill="1" applyBorder="1" applyAlignment="1">
      <alignment wrapText="1"/>
    </xf>
    <xf numFmtId="179" fontId="44" fillId="4" borderId="21" xfId="2" applyNumberFormat="1" applyFont="1" applyFill="1" applyBorder="1" applyAlignment="1">
      <alignment horizontal="center" wrapText="1"/>
    </xf>
    <xf numFmtId="189" fontId="44" fillId="4" borderId="21" xfId="2" applyNumberFormat="1" applyFont="1" applyFill="1" applyBorder="1" applyAlignment="1">
      <alignment horizontal="right" wrapText="1"/>
    </xf>
    <xf numFmtId="179" fontId="44" fillId="4" borderId="21" xfId="0" applyNumberFormat="1" applyFont="1" applyFill="1" applyBorder="1" applyAlignment="1">
      <alignment horizontal="center" wrapText="1"/>
    </xf>
    <xf numFmtId="170" fontId="44" fillId="4" borderId="21" xfId="2" applyFont="1" applyFill="1" applyBorder="1" applyAlignment="1">
      <alignment horizontal="center" wrapText="1"/>
    </xf>
    <xf numFmtId="0" fontId="44" fillId="4" borderId="21" xfId="0" applyFont="1" applyFill="1" applyBorder="1" applyAlignment="1">
      <alignment horizontal="justify" wrapText="1"/>
    </xf>
    <xf numFmtId="0" fontId="62" fillId="4" borderId="21" xfId="0" applyFont="1" applyFill="1" applyBorder="1" applyAlignment="1">
      <alignment horizontal="justify" wrapText="1"/>
    </xf>
    <xf numFmtId="0" fontId="124" fillId="4" borderId="21" xfId="0" applyFont="1" applyFill="1" applyBorder="1" applyAlignment="1">
      <alignment horizontal="justify"/>
    </xf>
    <xf numFmtId="179" fontId="46" fillId="4" borderId="21" xfId="2" applyNumberFormat="1" applyFont="1" applyFill="1" applyBorder="1"/>
    <xf numFmtId="0" fontId="46" fillId="4" borderId="21" xfId="0" applyFont="1" applyFill="1" applyBorder="1"/>
    <xf numFmtId="0" fontId="5" fillId="0" borderId="21" xfId="0" applyFont="1" applyBorder="1" applyAlignment="1">
      <alignment vertical="center" wrapText="1"/>
    </xf>
    <xf numFmtId="0" fontId="51" fillId="5" borderId="0" xfId="0" applyFont="1" applyFill="1"/>
    <xf numFmtId="186" fontId="39" fillId="5" borderId="0" xfId="0" applyNumberFormat="1" applyFont="1" applyFill="1"/>
    <xf numFmtId="179" fontId="51" fillId="5" borderId="0" xfId="0" applyNumberFormat="1" applyFont="1" applyFill="1"/>
    <xf numFmtId="0" fontId="39" fillId="5" borderId="0" xfId="0" applyFont="1" applyFill="1"/>
    <xf numFmtId="0" fontId="58" fillId="5" borderId="0" xfId="0" applyFont="1" applyFill="1"/>
    <xf numFmtId="186" fontId="132" fillId="5" borderId="0" xfId="0" applyNumberFormat="1" applyFont="1" applyFill="1"/>
    <xf numFmtId="0" fontId="132" fillId="5" borderId="0" xfId="0" applyFont="1" applyFill="1"/>
    <xf numFmtId="179" fontId="132" fillId="5" borderId="0" xfId="0" applyNumberFormat="1" applyFont="1" applyFill="1"/>
    <xf numFmtId="186" fontId="133" fillId="5" borderId="0" xfId="0" applyNumberFormat="1" applyFont="1" applyFill="1"/>
    <xf numFmtId="0" fontId="133" fillId="5" borderId="0" xfId="0" applyFont="1" applyFill="1"/>
    <xf numFmtId="0" fontId="134" fillId="5" borderId="0" xfId="0" applyFont="1" applyFill="1"/>
    <xf numFmtId="179" fontId="134" fillId="5" borderId="0" xfId="0" applyNumberFormat="1" applyFont="1" applyFill="1"/>
    <xf numFmtId="0" fontId="44" fillId="4" borderId="21" xfId="0" applyFont="1" applyFill="1" applyBorder="1" applyAlignment="1">
      <alignment horizontal="center" vertical="center" wrapText="1"/>
    </xf>
    <xf numFmtId="170" fontId="27" fillId="0" borderId="21" xfId="2" applyFont="1" applyBorder="1" applyAlignment="1">
      <alignment horizontal="center" vertical="center" wrapText="1"/>
    </xf>
    <xf numFmtId="0" fontId="5" fillId="0" borderId="21" xfId="0" applyFont="1" applyBorder="1" applyAlignment="1">
      <alignment horizontal="center" vertical="center" wrapText="1"/>
    </xf>
    <xf numFmtId="0" fontId="164" fillId="0" borderId="0" xfId="0" applyFont="1"/>
    <xf numFmtId="0" fontId="22" fillId="0" borderId="0" xfId="0" applyFont="1"/>
    <xf numFmtId="170" fontId="5" fillId="0" borderId="21" xfId="2" applyFont="1" applyBorder="1" applyAlignment="1">
      <alignment horizontal="center" vertical="center" wrapText="1"/>
    </xf>
    <xf numFmtId="0" fontId="165" fillId="0" borderId="0" xfId="0" applyFont="1"/>
    <xf numFmtId="0" fontId="6" fillId="0" borderId="21" xfId="0" applyFont="1" applyBorder="1" applyAlignment="1">
      <alignment horizontal="center" vertical="center" wrapText="1"/>
    </xf>
    <xf numFmtId="0" fontId="166" fillId="0" borderId="0" xfId="0" applyFont="1"/>
    <xf numFmtId="0" fontId="5" fillId="4" borderId="21" xfId="0" applyFont="1" applyFill="1" applyBorder="1" applyAlignment="1">
      <alignment horizontal="center" vertical="center" wrapText="1"/>
    </xf>
    <xf numFmtId="0" fontId="5" fillId="4" borderId="21" xfId="0" applyFont="1" applyFill="1" applyBorder="1" applyAlignment="1">
      <alignment vertical="center" wrapText="1"/>
    </xf>
    <xf numFmtId="170" fontId="5" fillId="4" borderId="21" xfId="2" applyFont="1" applyFill="1" applyBorder="1" applyAlignment="1">
      <alignment horizontal="center" vertical="center" wrapText="1"/>
    </xf>
    <xf numFmtId="179" fontId="5" fillId="4" borderId="21" xfId="2" applyNumberFormat="1" applyFont="1" applyFill="1" applyBorder="1" applyAlignment="1">
      <alignment horizontal="center" vertical="center" wrapText="1"/>
    </xf>
    <xf numFmtId="0" fontId="164" fillId="4" borderId="0" xfId="0" applyFont="1" applyFill="1"/>
    <xf numFmtId="0" fontId="27" fillId="4" borderId="21" xfId="0" applyFont="1" applyFill="1" applyBorder="1" applyAlignment="1">
      <alignment horizontal="center" vertical="center" wrapText="1"/>
    </xf>
    <xf numFmtId="0" fontId="27" fillId="4" borderId="21" xfId="0" applyFont="1" applyFill="1" applyBorder="1" applyAlignment="1">
      <alignment vertical="center" wrapText="1"/>
    </xf>
    <xf numFmtId="170" fontId="27" fillId="4" borderId="21" xfId="2" applyFont="1" applyFill="1" applyBorder="1" applyAlignment="1">
      <alignment horizontal="center" vertical="center" wrapText="1"/>
    </xf>
    <xf numFmtId="179" fontId="27" fillId="4" borderId="21" xfId="2" applyNumberFormat="1" applyFont="1" applyFill="1" applyBorder="1" applyAlignment="1">
      <alignment horizontal="center" vertical="center" wrapText="1"/>
    </xf>
    <xf numFmtId="0" fontId="6" fillId="4" borderId="21" xfId="0" applyFont="1" applyFill="1" applyBorder="1" applyAlignment="1">
      <alignment horizontal="center" vertical="center" wrapText="1"/>
    </xf>
    <xf numFmtId="0" fontId="22" fillId="4" borderId="0" xfId="0" applyFont="1" applyFill="1"/>
    <xf numFmtId="186" fontId="164" fillId="4" borderId="0" xfId="0" applyNumberFormat="1" applyFont="1" applyFill="1"/>
    <xf numFmtId="0" fontId="167" fillId="0" borderId="5" xfId="0" applyFont="1" applyBorder="1"/>
    <xf numFmtId="0" fontId="167" fillId="0" borderId="5" xfId="0" applyFont="1" applyBorder="1" applyAlignment="1">
      <alignment horizontal="justify" wrapText="1"/>
    </xf>
    <xf numFmtId="0" fontId="167" fillId="0" borderId="0" xfId="0" applyFont="1"/>
    <xf numFmtId="0" fontId="167" fillId="0" borderId="4" xfId="0" applyFont="1" applyBorder="1"/>
    <xf numFmtId="0" fontId="122" fillId="0" borderId="5" xfId="0" applyFont="1" applyBorder="1"/>
    <xf numFmtId="0" fontId="122" fillId="0" borderId="5" xfId="0" applyFont="1" applyBorder="1" applyAlignment="1">
      <alignment horizontal="justify" wrapText="1"/>
    </xf>
    <xf numFmtId="0" fontId="122" fillId="0" borderId="0" xfId="0" applyFont="1"/>
    <xf numFmtId="0" fontId="122" fillId="0" borderId="5" xfId="0" applyFont="1" applyBorder="1" applyAlignment="1">
      <alignment horizontal="left" wrapText="1"/>
    </xf>
    <xf numFmtId="0" fontId="167" fillId="0" borderId="5" xfId="0" applyFont="1" applyBorder="1" applyAlignment="1">
      <alignment horizontal="left" wrapText="1"/>
    </xf>
    <xf numFmtId="0" fontId="167" fillId="0" borderId="18" xfId="0" applyFont="1" applyBorder="1"/>
    <xf numFmtId="0" fontId="19" fillId="0" borderId="5" xfId="0" applyFont="1" applyBorder="1"/>
    <xf numFmtId="0" fontId="167" fillId="0" borderId="7" xfId="0" applyFont="1" applyBorder="1"/>
    <xf numFmtId="0" fontId="167" fillId="0" borderId="7" xfId="0" applyFont="1" applyBorder="1" applyAlignment="1">
      <alignment horizontal="justify" wrapText="1"/>
    </xf>
    <xf numFmtId="0" fontId="33" fillId="0" borderId="21" xfId="0" applyFont="1" applyBorder="1" applyAlignment="1">
      <alignment horizontal="center"/>
    </xf>
    <xf numFmtId="0" fontId="33" fillId="0" borderId="21" xfId="0" applyFont="1" applyBorder="1"/>
    <xf numFmtId="0" fontId="33" fillId="0" borderId="21" xfId="0" applyFont="1" applyBorder="1" applyAlignment="1">
      <alignment horizontal="justify" wrapText="1"/>
    </xf>
    <xf numFmtId="0" fontId="19" fillId="0" borderId="21" xfId="0" applyFont="1" applyBorder="1" applyAlignment="1">
      <alignment horizontal="center"/>
    </xf>
    <xf numFmtId="0" fontId="19" fillId="0" borderId="21" xfId="0" applyFont="1" applyBorder="1"/>
    <xf numFmtId="0" fontId="19" fillId="0" borderId="21" xfId="0" applyFont="1" applyBorder="1" applyAlignment="1">
      <alignment horizontal="justify" wrapText="1"/>
    </xf>
    <xf numFmtId="179" fontId="55" fillId="5" borderId="0" xfId="0" applyNumberFormat="1" applyFont="1" applyFill="1"/>
    <xf numFmtId="0" fontId="55" fillId="5" borderId="0" xfId="0" applyFont="1" applyFill="1"/>
    <xf numFmtId="183" fontId="55" fillId="5" borderId="0" xfId="0" applyNumberFormat="1" applyFont="1" applyFill="1"/>
    <xf numFmtId="179" fontId="55" fillId="5" borderId="0" xfId="2" applyNumberFormat="1" applyFont="1" applyFill="1"/>
    <xf numFmtId="172" fontId="55" fillId="5" borderId="0" xfId="2" applyNumberFormat="1" applyFont="1" applyFill="1"/>
    <xf numFmtId="0" fontId="19" fillId="0" borderId="0" xfId="0" applyFont="1" applyAlignment="1">
      <alignment horizontal="centerContinuous" vertical="center" wrapText="1"/>
    </xf>
    <xf numFmtId="0" fontId="10" fillId="0" borderId="0" xfId="0" applyFont="1"/>
    <xf numFmtId="0" fontId="21" fillId="4" borderId="21" xfId="0" applyFont="1" applyFill="1" applyBorder="1" applyAlignment="1">
      <alignment horizontal="center" vertical="center" wrapText="1"/>
    </xf>
    <xf numFmtId="0" fontId="21" fillId="4" borderId="21" xfId="0" applyFont="1" applyFill="1" applyBorder="1" applyAlignment="1">
      <alignment vertical="center" wrapText="1"/>
    </xf>
    <xf numFmtId="0" fontId="31" fillId="4" borderId="21" xfId="0" applyFont="1" applyFill="1" applyBorder="1" applyAlignment="1">
      <alignment vertical="center" wrapText="1"/>
    </xf>
    <xf numFmtId="179" fontId="21" fillId="4" borderId="21" xfId="2" applyNumberFormat="1" applyFont="1" applyFill="1" applyBorder="1" applyAlignment="1">
      <alignment horizontal="right" vertical="center" wrapText="1"/>
    </xf>
    <xf numFmtId="0" fontId="20" fillId="4" borderId="21" xfId="0" applyFont="1" applyFill="1" applyBorder="1" applyAlignment="1">
      <alignment vertical="center" wrapText="1"/>
    </xf>
    <xf numFmtId="0" fontId="5" fillId="4" borderId="21" xfId="0" applyFont="1" applyFill="1" applyBorder="1" applyAlignment="1">
      <alignment horizontal="left" vertical="center" wrapText="1"/>
    </xf>
    <xf numFmtId="179" fontId="20" fillId="4" borderId="21" xfId="2" applyNumberFormat="1" applyFont="1" applyFill="1" applyBorder="1" applyAlignment="1">
      <alignment horizontal="right" vertical="center" wrapText="1"/>
    </xf>
    <xf numFmtId="0" fontId="20" fillId="4" borderId="21" xfId="0" applyFont="1" applyFill="1" applyBorder="1" applyAlignment="1">
      <alignment horizontal="center" vertical="center" wrapText="1"/>
    </xf>
    <xf numFmtId="0" fontId="7" fillId="4" borderId="21" xfId="0" applyFont="1" applyFill="1" applyBorder="1" applyAlignment="1">
      <alignment vertical="center"/>
    </xf>
    <xf numFmtId="0" fontId="71" fillId="4" borderId="21" xfId="0" quotePrefix="1" applyFont="1" applyFill="1" applyBorder="1" applyAlignment="1">
      <alignment horizontal="center" vertical="center" wrapText="1"/>
    </xf>
    <xf numFmtId="0" fontId="6" fillId="4" borderId="21" xfId="0" quotePrefix="1" applyFont="1" applyFill="1" applyBorder="1" applyAlignment="1">
      <alignment horizontal="left" vertical="center" wrapText="1"/>
    </xf>
    <xf numFmtId="179" fontId="71" fillId="4" borderId="21" xfId="2" applyNumberFormat="1" applyFont="1" applyFill="1" applyBorder="1" applyAlignment="1">
      <alignment horizontal="right" vertical="center" wrapText="1"/>
    </xf>
    <xf numFmtId="0" fontId="55" fillId="4" borderId="21" xfId="0" applyFont="1" applyFill="1" applyBorder="1" applyAlignment="1">
      <alignment horizontal="center" vertical="center" wrapText="1"/>
    </xf>
    <xf numFmtId="0" fontId="123" fillId="4" borderId="21" xfId="0" applyFont="1" applyFill="1" applyBorder="1" applyAlignment="1">
      <alignment vertical="center" wrapText="1"/>
    </xf>
    <xf numFmtId="173" fontId="20" fillId="4" borderId="21" xfId="2" applyNumberFormat="1" applyFont="1" applyFill="1" applyBorder="1" applyAlignment="1">
      <alignment horizontal="right" vertical="center" wrapText="1"/>
    </xf>
    <xf numFmtId="3" fontId="20" fillId="4" borderId="21" xfId="0" applyNumberFormat="1" applyFont="1" applyFill="1" applyBorder="1" applyAlignment="1">
      <alignment horizontal="right" vertical="center" wrapText="1"/>
    </xf>
    <xf numFmtId="173" fontId="55" fillId="4" borderId="0" xfId="2" applyNumberFormat="1" applyFont="1" applyFill="1" applyBorder="1" applyAlignment="1"/>
    <xf numFmtId="0" fontId="51" fillId="4" borderId="21" xfId="0" applyFont="1" applyFill="1" applyBorder="1" applyAlignment="1">
      <alignment horizontal="center" vertical="center" wrapText="1"/>
    </xf>
    <xf numFmtId="0" fontId="51" fillId="4" borderId="21" xfId="0" applyFont="1" applyFill="1" applyBorder="1" applyAlignment="1">
      <alignment vertical="center" wrapText="1"/>
    </xf>
    <xf numFmtId="179" fontId="51" fillId="4" borderId="21" xfId="2" applyNumberFormat="1" applyFont="1" applyFill="1" applyBorder="1" applyAlignment="1">
      <alignment horizontal="right" vertical="center" wrapText="1"/>
    </xf>
    <xf numFmtId="173" fontId="51" fillId="4" borderId="21" xfId="2" applyNumberFormat="1" applyFont="1" applyFill="1" applyBorder="1" applyAlignment="1">
      <alignment horizontal="right" vertical="center" wrapText="1"/>
    </xf>
    <xf numFmtId="3" fontId="51" fillId="4" borderId="21" xfId="0" applyNumberFormat="1" applyFont="1" applyFill="1" applyBorder="1" applyAlignment="1">
      <alignment horizontal="right" vertical="center" wrapText="1"/>
    </xf>
    <xf numFmtId="173" fontId="51" fillId="4" borderId="0" xfId="2" applyNumberFormat="1" applyFont="1" applyFill="1" applyBorder="1" applyAlignment="1"/>
    <xf numFmtId="0" fontId="37" fillId="4" borderId="21" xfId="0" applyFont="1" applyFill="1" applyBorder="1" applyAlignment="1">
      <alignment horizontal="center" vertical="center" wrapText="1"/>
    </xf>
    <xf numFmtId="0" fontId="67" fillId="4" borderId="21" xfId="0" applyFont="1" applyFill="1" applyBorder="1" applyAlignment="1">
      <alignment horizontal="center" vertical="center" wrapText="1"/>
    </xf>
    <xf numFmtId="0" fontId="21" fillId="4" borderId="21" xfId="0" applyFont="1" applyFill="1" applyBorder="1" applyAlignment="1">
      <alignment horizontal="left" vertical="center" wrapText="1"/>
    </xf>
    <xf numFmtId="186" fontId="21" fillId="0" borderId="21" xfId="37" applyNumberFormat="1" applyFont="1" applyBorder="1" applyAlignment="1">
      <alignment horizontal="center" vertical="center" wrapText="1"/>
    </xf>
    <xf numFmtId="173" fontId="71" fillId="4" borderId="21" xfId="2" applyNumberFormat="1" applyFont="1" applyFill="1" applyBorder="1" applyAlignment="1">
      <alignment horizontal="right" vertical="center" wrapText="1"/>
    </xf>
    <xf numFmtId="3" fontId="71" fillId="4" borderId="21" xfId="2" applyNumberFormat="1" applyFont="1" applyFill="1" applyBorder="1" applyAlignment="1">
      <alignment horizontal="left" vertical="center" wrapText="1"/>
    </xf>
    <xf numFmtId="173" fontId="71" fillId="4" borderId="0" xfId="2" applyNumberFormat="1" applyFont="1" applyFill="1"/>
    <xf numFmtId="175" fontId="71" fillId="4" borderId="0" xfId="2" applyNumberFormat="1" applyFont="1" applyFill="1"/>
    <xf numFmtId="179" fontId="71" fillId="4" borderId="0" xfId="2" applyNumberFormat="1" applyFont="1" applyFill="1"/>
    <xf numFmtId="3" fontId="20" fillId="4" borderId="21" xfId="2" applyNumberFormat="1" applyFont="1" applyFill="1" applyBorder="1" applyAlignment="1">
      <alignment horizontal="left" vertical="center" wrapText="1"/>
    </xf>
    <xf numFmtId="173" fontId="20" fillId="4" borderId="0" xfId="2" applyNumberFormat="1" applyFont="1" applyFill="1"/>
    <xf numFmtId="175" fontId="51" fillId="4" borderId="0" xfId="2" applyNumberFormat="1" applyFont="1" applyFill="1"/>
    <xf numFmtId="173" fontId="51" fillId="4" borderId="0" xfId="2" applyNumberFormat="1" applyFont="1" applyFill="1"/>
    <xf numFmtId="182" fontId="51" fillId="4" borderId="0" xfId="0" applyNumberFormat="1" applyFont="1" applyFill="1"/>
    <xf numFmtId="173" fontId="51" fillId="4" borderId="0" xfId="2" applyNumberFormat="1" applyFont="1" applyFill="1" applyBorder="1"/>
    <xf numFmtId="182" fontId="21" fillId="4" borderId="0" xfId="0" applyNumberFormat="1" applyFont="1" applyFill="1"/>
    <xf numFmtId="0" fontId="21" fillId="4" borderId="0" xfId="0" applyFont="1" applyFill="1"/>
    <xf numFmtId="0" fontId="31" fillId="4" borderId="21" xfId="0" applyFont="1" applyFill="1" applyBorder="1" applyAlignment="1">
      <alignment horizontal="left" vertical="center" wrapText="1"/>
    </xf>
    <xf numFmtId="173" fontId="21" fillId="4" borderId="21" xfId="2" applyNumberFormat="1" applyFont="1" applyFill="1" applyBorder="1" applyAlignment="1">
      <alignment horizontal="right" vertical="center" wrapText="1"/>
    </xf>
    <xf numFmtId="3" fontId="31" fillId="4" borderId="21" xfId="0" applyNumberFormat="1" applyFont="1" applyFill="1" applyBorder="1" applyAlignment="1">
      <alignment horizontal="right" vertical="center" wrapText="1"/>
    </xf>
    <xf numFmtId="173" fontId="19" fillId="4" borderId="0" xfId="2" applyNumberFormat="1" applyFont="1" applyFill="1" applyBorder="1"/>
    <xf numFmtId="0" fontId="37" fillId="4" borderId="21" xfId="0" applyFont="1" applyFill="1" applyBorder="1" applyAlignment="1">
      <alignment horizontal="left" vertical="center" wrapText="1"/>
    </xf>
    <xf numFmtId="3" fontId="37" fillId="4" borderId="21" xfId="0" applyNumberFormat="1" applyFont="1" applyFill="1" applyBorder="1" applyAlignment="1">
      <alignment horizontal="right" vertical="center" wrapText="1"/>
    </xf>
    <xf numFmtId="173" fontId="21" fillId="4" borderId="5" xfId="2" applyNumberFormat="1" applyFont="1" applyFill="1" applyBorder="1" applyAlignment="1">
      <alignment horizontal="right" vertical="center" wrapText="1"/>
    </xf>
    <xf numFmtId="0" fontId="20" fillId="4" borderId="0" xfId="0" applyFont="1" applyFill="1" applyAlignment="1">
      <alignment horizontal="center"/>
    </xf>
    <xf numFmtId="182" fontId="21" fillId="4" borderId="21" xfId="0" applyNumberFormat="1" applyFont="1" applyFill="1" applyBorder="1" applyAlignment="1">
      <alignment horizontal="right" vertical="center" wrapText="1"/>
    </xf>
    <xf numFmtId="182" fontId="21" fillId="4" borderId="4" xfId="0" applyNumberFormat="1" applyFont="1" applyFill="1" applyBorder="1" applyAlignment="1">
      <alignment horizontal="right" vertical="center" wrapText="1"/>
    </xf>
    <xf numFmtId="170" fontId="20" fillId="4" borderId="0" xfId="0" applyNumberFormat="1" applyFont="1" applyFill="1"/>
    <xf numFmtId="173" fontId="21" fillId="4" borderId="0" xfId="2" applyNumberFormat="1" applyFont="1" applyFill="1" applyBorder="1" applyAlignment="1"/>
    <xf numFmtId="175" fontId="51" fillId="4" borderId="0" xfId="2" applyNumberFormat="1" applyFont="1" applyFill="1" applyBorder="1" applyAlignment="1"/>
    <xf numFmtId="170" fontId="21" fillId="4" borderId="0" xfId="0" applyNumberFormat="1" applyFont="1" applyFill="1"/>
    <xf numFmtId="173" fontId="20" fillId="4" borderId="0" xfId="2" applyNumberFormat="1" applyFont="1" applyFill="1" applyBorder="1" applyAlignment="1"/>
    <xf numFmtId="170" fontId="20" fillId="4" borderId="0" xfId="2" applyFont="1" applyFill="1" applyBorder="1" applyAlignment="1"/>
    <xf numFmtId="182" fontId="21" fillId="4" borderId="21" xfId="2" applyNumberFormat="1" applyFont="1" applyFill="1" applyBorder="1" applyAlignment="1">
      <alignment horizontal="right" vertical="center" wrapText="1"/>
    </xf>
    <xf numFmtId="182" fontId="21" fillId="4" borderId="5" xfId="2" applyNumberFormat="1" applyFont="1" applyFill="1" applyBorder="1" applyAlignment="1">
      <alignment horizontal="right" vertical="center" wrapText="1"/>
    </xf>
    <xf numFmtId="0" fontId="128" fillId="0" borderId="0" xfId="0" applyFont="1"/>
    <xf numFmtId="179" fontId="49" fillId="0" borderId="5" xfId="2" applyNumberFormat="1" applyFont="1" applyBorder="1" applyAlignment="1">
      <alignment vertical="center" wrapText="1"/>
    </xf>
    <xf numFmtId="179" fontId="48" fillId="0" borderId="3" xfId="2" applyNumberFormat="1" applyFont="1" applyBorder="1" applyAlignment="1">
      <alignment vertical="center" wrapText="1"/>
    </xf>
    <xf numFmtId="172" fontId="48" fillId="0" borderId="3" xfId="2" applyNumberFormat="1" applyFont="1" applyBorder="1" applyAlignment="1">
      <alignment vertical="center" wrapText="1"/>
    </xf>
    <xf numFmtId="170" fontId="58" fillId="4" borderId="0" xfId="2" applyFont="1" applyFill="1" applyBorder="1" applyAlignment="1">
      <alignment horizontal="right" vertical="center" wrapText="1"/>
    </xf>
    <xf numFmtId="0" fontId="39" fillId="4" borderId="13" xfId="0" applyFont="1" applyFill="1" applyBorder="1" applyAlignment="1">
      <alignment vertical="center" wrapText="1"/>
    </xf>
    <xf numFmtId="0" fontId="56" fillId="4" borderId="0" xfId="0" applyFont="1" applyFill="1" applyAlignment="1">
      <alignment vertical="center" wrapText="1"/>
    </xf>
    <xf numFmtId="0" fontId="170" fillId="4" borderId="0" xfId="0" applyFont="1" applyFill="1" applyAlignment="1">
      <alignment vertical="center" wrapText="1"/>
    </xf>
    <xf numFmtId="0" fontId="58" fillId="4" borderId="0" xfId="0" applyFont="1" applyFill="1" applyAlignment="1">
      <alignment vertical="center" wrapText="1"/>
    </xf>
    <xf numFmtId="0" fontId="39" fillId="4" borderId="0" xfId="0" applyFont="1" applyFill="1" applyAlignment="1">
      <alignment vertical="center" wrapText="1"/>
    </xf>
    <xf numFmtId="180" fontId="56" fillId="4" borderId="0" xfId="0" applyNumberFormat="1" applyFont="1" applyFill="1" applyAlignment="1">
      <alignment vertical="center" wrapText="1"/>
    </xf>
    <xf numFmtId="0" fontId="39" fillId="4" borderId="0" xfId="0" applyFont="1" applyFill="1" applyAlignment="1">
      <alignment horizontal="right" vertical="center" wrapText="1"/>
    </xf>
    <xf numFmtId="4" fontId="39" fillId="4" borderId="0" xfId="15" applyNumberFormat="1" applyFont="1" applyFill="1" applyAlignment="1">
      <alignment horizontal="right" vertical="center" wrapText="1"/>
    </xf>
    <xf numFmtId="3" fontId="117" fillId="4" borderId="3" xfId="0" applyNumberFormat="1" applyFont="1" applyFill="1" applyBorder="1" applyAlignment="1">
      <alignment horizontal="center" vertical="center" wrapText="1"/>
    </xf>
    <xf numFmtId="0" fontId="117" fillId="4" borderId="3" xfId="0" applyFont="1" applyFill="1" applyBorder="1" applyAlignment="1">
      <alignment vertical="center" wrapText="1"/>
    </xf>
    <xf numFmtId="179" fontId="117" fillId="4" borderId="3" xfId="2" applyNumberFormat="1" applyFont="1" applyFill="1" applyBorder="1" applyAlignment="1">
      <alignment horizontal="center" vertical="center" wrapText="1"/>
    </xf>
    <xf numFmtId="0" fontId="61" fillId="4" borderId="5" xfId="0" applyFont="1" applyFill="1" applyBorder="1" applyAlignment="1">
      <alignment horizontal="center" vertical="center" wrapText="1"/>
    </xf>
    <xf numFmtId="0" fontId="61" fillId="4" borderId="5" xfId="2" applyNumberFormat="1" applyFont="1" applyFill="1" applyBorder="1" applyAlignment="1">
      <alignment horizontal="left" vertical="center" wrapText="1"/>
    </xf>
    <xf numFmtId="179" fontId="61" fillId="4" borderId="5" xfId="2" applyNumberFormat="1" applyFont="1" applyFill="1" applyBorder="1" applyAlignment="1">
      <alignment horizontal="left" vertical="center" wrapText="1"/>
    </xf>
    <xf numFmtId="170" fontId="61" fillId="4" borderId="5" xfId="2" applyFont="1" applyFill="1" applyBorder="1" applyAlignment="1">
      <alignment horizontal="center" vertical="center" wrapText="1"/>
    </xf>
    <xf numFmtId="0" fontId="61" fillId="4" borderId="0" xfId="0" applyFont="1" applyFill="1" applyAlignment="1">
      <alignment horizontal="left"/>
    </xf>
    <xf numFmtId="179" fontId="61" fillId="4" borderId="10" xfId="2" applyNumberFormat="1" applyFont="1" applyFill="1" applyBorder="1" applyAlignment="1">
      <alignment horizontal="center" vertical="center" wrapText="1"/>
    </xf>
    <xf numFmtId="179" fontId="61" fillId="4" borderId="10" xfId="2" applyNumberFormat="1" applyFont="1" applyFill="1" applyBorder="1" applyAlignment="1">
      <alignment horizontal="left" vertical="center" wrapText="1"/>
    </xf>
    <xf numFmtId="179" fontId="61" fillId="4" borderId="5" xfId="2" applyNumberFormat="1" applyFont="1" applyFill="1" applyBorder="1" applyAlignment="1">
      <alignment horizontal="right" vertical="center" wrapText="1"/>
    </xf>
    <xf numFmtId="179" fontId="61" fillId="4" borderId="10" xfId="2" applyNumberFormat="1" applyFont="1" applyFill="1" applyBorder="1" applyAlignment="1">
      <alignment horizontal="right" vertical="center" wrapText="1"/>
    </xf>
    <xf numFmtId="0" fontId="61" fillId="4" borderId="10" xfId="2" applyNumberFormat="1" applyFont="1" applyFill="1" applyBorder="1" applyAlignment="1">
      <alignment horizontal="left" vertical="center" wrapText="1"/>
    </xf>
    <xf numFmtId="170" fontId="61" fillId="4" borderId="10" xfId="2" applyFont="1" applyFill="1" applyBorder="1" applyAlignment="1">
      <alignment horizontal="center" vertical="center" wrapText="1"/>
    </xf>
    <xf numFmtId="0" fontId="367" fillId="0" borderId="21" xfId="46" applyFont="1" applyBorder="1" applyAlignment="1">
      <alignment horizontal="center" vertical="center" wrapText="1"/>
    </xf>
    <xf numFmtId="0" fontId="163" fillId="0" borderId="0" xfId="46" applyFont="1" applyAlignment="1">
      <alignment horizontal="right" vertical="center"/>
    </xf>
    <xf numFmtId="0" fontId="67" fillId="0" borderId="0" xfId="46" applyFont="1"/>
    <xf numFmtId="0" fontId="366" fillId="0" borderId="0" xfId="46" applyFont="1" applyAlignment="1">
      <alignment vertical="center"/>
    </xf>
    <xf numFmtId="0" fontId="163" fillId="0" borderId="0" xfId="46" applyFont="1" applyAlignment="1">
      <alignment vertical="center"/>
    </xf>
    <xf numFmtId="170" fontId="67" fillId="0" borderId="0" xfId="941" applyFont="1"/>
    <xf numFmtId="170" fontId="367" fillId="0" borderId="21" xfId="941" applyFont="1" applyBorder="1" applyAlignment="1">
      <alignment horizontal="center" vertical="center" wrapText="1"/>
    </xf>
    <xf numFmtId="0" fontId="368" fillId="0" borderId="21" xfId="46" applyFont="1" applyBorder="1" applyAlignment="1">
      <alignment vertical="center" wrapText="1"/>
    </xf>
    <xf numFmtId="0" fontId="367" fillId="0" borderId="21" xfId="46" applyFont="1" applyBorder="1" applyAlignment="1">
      <alignment vertical="center" wrapText="1"/>
    </xf>
    <xf numFmtId="170" fontId="368" fillId="0" borderId="21" xfId="941" applyFont="1" applyBorder="1" applyAlignment="1">
      <alignment vertical="center" wrapText="1"/>
    </xf>
    <xf numFmtId="0" fontId="368" fillId="0" borderId="21" xfId="46" applyFont="1" applyBorder="1" applyAlignment="1">
      <alignment horizontal="center" vertical="center" wrapText="1"/>
    </xf>
    <xf numFmtId="0" fontId="3" fillId="4" borderId="0" xfId="0" applyFont="1" applyFill="1" applyAlignment="1">
      <alignment horizontal="right" vertical="center"/>
    </xf>
    <xf numFmtId="179" fontId="39" fillId="4" borderId="13" xfId="2" applyNumberFormat="1" applyFont="1" applyFill="1" applyBorder="1" applyAlignment="1">
      <alignment horizontal="center" vertical="center" wrapText="1"/>
    </xf>
    <xf numFmtId="0" fontId="51" fillId="4" borderId="13" xfId="0" applyFont="1" applyFill="1" applyBorder="1"/>
    <xf numFmtId="179" fontId="56" fillId="4" borderId="13" xfId="2" applyNumberFormat="1" applyFont="1" applyFill="1" applyBorder="1" applyAlignment="1">
      <alignment horizontal="center" vertical="center" wrapText="1"/>
    </xf>
    <xf numFmtId="177" fontId="51" fillId="4" borderId="13" xfId="2" applyNumberFormat="1" applyFont="1" applyFill="1" applyBorder="1"/>
    <xf numFmtId="0" fontId="54" fillId="4" borderId="13" xfId="0" applyFont="1" applyFill="1" applyBorder="1"/>
    <xf numFmtId="0" fontId="4" fillId="4" borderId="0" xfId="0" applyFont="1" applyFill="1" applyAlignment="1">
      <alignment horizontal="right" vertical="center"/>
    </xf>
    <xf numFmtId="0" fontId="373" fillId="4" borderId="0" xfId="0" applyFont="1" applyFill="1"/>
    <xf numFmtId="186" fontId="51" fillId="4" borderId="0" xfId="0" applyNumberFormat="1" applyFont="1" applyFill="1"/>
    <xf numFmtId="178" fontId="51" fillId="4" borderId="0" xfId="0" applyNumberFormat="1" applyFont="1" applyFill="1"/>
    <xf numFmtId="180" fontId="51" fillId="4" borderId="13" xfId="2" applyNumberFormat="1" applyFont="1" applyFill="1" applyBorder="1"/>
    <xf numFmtId="0" fontId="55" fillId="4" borderId="67" xfId="0" applyFont="1" applyFill="1" applyBorder="1" applyAlignment="1">
      <alignment horizontal="center" vertical="center" wrapText="1"/>
    </xf>
    <xf numFmtId="0" fontId="373" fillId="4" borderId="67" xfId="0" applyFont="1" applyFill="1" applyBorder="1" applyAlignment="1">
      <alignment horizontal="center" vertical="center" wrapText="1"/>
    </xf>
    <xf numFmtId="172" fontId="373" fillId="4" borderId="67" xfId="2" applyNumberFormat="1" applyFont="1" applyFill="1" applyBorder="1" applyAlignment="1">
      <alignment horizontal="center" vertical="center" wrapText="1"/>
    </xf>
    <xf numFmtId="0" fontId="55" fillId="4" borderId="67" xfId="0" applyFont="1" applyFill="1" applyBorder="1" applyAlignment="1">
      <alignment vertical="center" wrapText="1"/>
    </xf>
    <xf numFmtId="179" fontId="55" fillId="4" borderId="67" xfId="2" applyNumberFormat="1" applyFont="1" applyFill="1" applyBorder="1" applyAlignment="1">
      <alignment horizontal="center" vertical="center" wrapText="1"/>
    </xf>
    <xf numFmtId="170" fontId="51" fillId="4" borderId="67" xfId="2" applyFont="1" applyFill="1" applyBorder="1" applyAlignment="1">
      <alignment horizontal="center" vertical="center" wrapText="1"/>
    </xf>
    <xf numFmtId="0" fontId="55" fillId="4" borderId="67" xfId="0" applyFont="1" applyFill="1" applyBorder="1" applyAlignment="1">
      <alignment horizontal="justify" vertical="center" wrapText="1"/>
    </xf>
    <xf numFmtId="170" fontId="55" fillId="4" borderId="67" xfId="2" applyFont="1" applyFill="1" applyBorder="1" applyAlignment="1">
      <alignment horizontal="center" vertical="center" wrapText="1"/>
    </xf>
    <xf numFmtId="0" fontId="51" fillId="4" borderId="67" xfId="0" applyFont="1" applyFill="1" applyBorder="1" applyAlignment="1">
      <alignment horizontal="center" vertical="center" wrapText="1"/>
    </xf>
    <xf numFmtId="0" fontId="51" fillId="4" borderId="67" xfId="0" applyFont="1" applyFill="1" applyBorder="1" applyAlignment="1">
      <alignment horizontal="justify" vertical="center" wrapText="1"/>
    </xf>
    <xf numFmtId="178" fontId="51" fillId="4" borderId="67" xfId="2" applyNumberFormat="1" applyFont="1" applyFill="1" applyBorder="1" applyAlignment="1">
      <alignment horizontal="center" vertical="center" wrapText="1"/>
    </xf>
    <xf numFmtId="179" fontId="51" fillId="4" borderId="67" xfId="2" applyNumberFormat="1" applyFont="1" applyFill="1" applyBorder="1" applyAlignment="1">
      <alignment horizontal="center" vertical="center" wrapText="1"/>
    </xf>
    <xf numFmtId="179" fontId="51" fillId="4" borderId="67" xfId="2" applyNumberFormat="1" applyFont="1" applyFill="1" applyBorder="1" applyAlignment="1">
      <alignment vertical="center"/>
    </xf>
    <xf numFmtId="179" fontId="39" fillId="4" borderId="0" xfId="2" applyNumberFormat="1" applyFont="1" applyFill="1"/>
    <xf numFmtId="179" fontId="53" fillId="4" borderId="0" xfId="2" applyNumberFormat="1" applyFont="1" applyFill="1"/>
    <xf numFmtId="171" fontId="51" fillId="4" borderId="0" xfId="2" applyNumberFormat="1" applyFont="1" applyFill="1"/>
    <xf numFmtId="179" fontId="3" fillId="4" borderId="0" xfId="2" applyNumberFormat="1" applyFont="1" applyFill="1" applyBorder="1" applyAlignment="1"/>
    <xf numFmtId="179" fontId="57" fillId="4" borderId="0" xfId="2" applyNumberFormat="1" applyFont="1" applyFill="1"/>
    <xf numFmtId="179" fontId="51" fillId="4" borderId="13" xfId="2" applyNumberFormat="1" applyFont="1" applyFill="1" applyBorder="1" applyAlignment="1"/>
    <xf numFmtId="179" fontId="52" fillId="4" borderId="13" xfId="2" applyNumberFormat="1" applyFont="1" applyFill="1" applyBorder="1" applyAlignment="1"/>
    <xf numFmtId="179" fontId="57" fillId="4" borderId="13" xfId="2" applyNumberFormat="1" applyFont="1" applyFill="1" applyBorder="1" applyAlignment="1"/>
    <xf numFmtId="179" fontId="39" fillId="4" borderId="13" xfId="2" applyNumberFormat="1" applyFont="1" applyFill="1" applyBorder="1" applyAlignment="1"/>
    <xf numFmtId="179" fontId="57" fillId="4" borderId="13" xfId="2" applyNumberFormat="1" applyFont="1" applyFill="1" applyBorder="1" applyAlignment="1">
      <alignment horizontal="center" vertical="center" wrapText="1"/>
    </xf>
    <xf numFmtId="0" fontId="104" fillId="4" borderId="5" xfId="0" applyFont="1" applyFill="1" applyBorder="1" applyAlignment="1">
      <alignment vertical="center" wrapText="1"/>
    </xf>
    <xf numFmtId="182" fontId="5" fillId="4" borderId="21" xfId="2" applyNumberFormat="1" applyFont="1" applyFill="1" applyBorder="1" applyAlignment="1">
      <alignment horizontal="right" vertical="center" wrapText="1"/>
    </xf>
    <xf numFmtId="182" fontId="27" fillId="0" borderId="21" xfId="2" applyNumberFormat="1" applyFont="1" applyBorder="1" applyAlignment="1">
      <alignment horizontal="right" vertical="center" wrapText="1"/>
    </xf>
    <xf numFmtId="0" fontId="3" fillId="4" borderId="5" xfId="0" applyFont="1" applyFill="1" applyBorder="1" applyAlignment="1">
      <alignment vertical="center" wrapText="1"/>
    </xf>
    <xf numFmtId="179" fontId="23" fillId="4" borderId="10" xfId="2" applyNumberFormat="1" applyFont="1" applyFill="1" applyBorder="1" applyAlignment="1">
      <alignment horizontal="center" vertical="center" wrapText="1"/>
    </xf>
    <xf numFmtId="182" fontId="23" fillId="4" borderId="4" xfId="2" applyNumberFormat="1" applyFont="1" applyFill="1" applyBorder="1" applyAlignment="1">
      <alignment horizontal="right" vertical="center" wrapText="1"/>
    </xf>
    <xf numFmtId="182" fontId="23" fillId="4" borderId="5" xfId="2" applyNumberFormat="1" applyFont="1" applyFill="1" applyBorder="1" applyAlignment="1">
      <alignment horizontal="right" vertical="center" wrapText="1"/>
    </xf>
    <xf numFmtId="182" fontId="54" fillId="4" borderId="5" xfId="2" applyNumberFormat="1" applyFont="1" applyFill="1" applyBorder="1" applyAlignment="1">
      <alignment horizontal="right" vertical="center" wrapText="1"/>
    </xf>
    <xf numFmtId="182" fontId="23" fillId="4" borderId="6" xfId="2" applyNumberFormat="1" applyFont="1" applyFill="1" applyBorder="1" applyAlignment="1">
      <alignment horizontal="right" vertical="center" wrapText="1"/>
    </xf>
    <xf numFmtId="0" fontId="39" fillId="4" borderId="21" xfId="0" applyFont="1" applyFill="1" applyBorder="1" applyAlignment="1">
      <alignment horizontal="center" vertical="center" wrapText="1"/>
    </xf>
    <xf numFmtId="0" fontId="39" fillId="4" borderId="68" xfId="0" applyFont="1" applyFill="1" applyBorder="1" applyAlignment="1">
      <alignment vertical="center" wrapText="1"/>
    </xf>
    <xf numFmtId="185" fontId="39" fillId="4" borderId="68" xfId="2" applyNumberFormat="1" applyFont="1" applyFill="1" applyBorder="1" applyAlignment="1">
      <alignment vertical="center" wrapText="1"/>
    </xf>
    <xf numFmtId="185" fontId="39" fillId="4" borderId="68" xfId="2" applyNumberFormat="1" applyFont="1" applyFill="1" applyBorder="1" applyAlignment="1">
      <alignment horizontal="right" vertical="center" wrapText="1"/>
    </xf>
    <xf numFmtId="0" fontId="58" fillId="4" borderId="21" xfId="0" applyFont="1" applyFill="1" applyBorder="1" applyAlignment="1">
      <alignment horizontal="center" vertical="center" wrapText="1"/>
    </xf>
    <xf numFmtId="185" fontId="56" fillId="4" borderId="21" xfId="2" applyNumberFormat="1" applyFont="1" applyFill="1" applyBorder="1" applyAlignment="1">
      <alignment horizontal="right" vertical="center" wrapText="1"/>
    </xf>
    <xf numFmtId="0" fontId="39" fillId="4" borderId="68" xfId="0" applyFont="1" applyFill="1" applyBorder="1" applyAlignment="1">
      <alignment vertical="top" wrapText="1"/>
    </xf>
    <xf numFmtId="185" fontId="119" fillId="4" borderId="68" xfId="0" applyNumberFormat="1" applyFont="1" applyFill="1" applyBorder="1" applyAlignment="1">
      <alignment wrapText="1"/>
    </xf>
    <xf numFmtId="185" fontId="59" fillId="4" borderId="68" xfId="0" applyNumberFormat="1" applyFont="1" applyFill="1" applyBorder="1" applyAlignment="1">
      <alignment vertical="center" wrapText="1"/>
    </xf>
    <xf numFmtId="185" fontId="171" fillId="4" borderId="68" xfId="0" applyNumberFormat="1" applyFont="1" applyFill="1" applyBorder="1" applyAlignment="1">
      <alignment vertical="center"/>
    </xf>
    <xf numFmtId="185" fontId="56" fillId="4" borderId="68" xfId="2" applyNumberFormat="1" applyFont="1" applyFill="1" applyBorder="1" applyAlignment="1">
      <alignment vertical="center" wrapText="1"/>
    </xf>
    <xf numFmtId="0" fontId="56" fillId="4" borderId="68" xfId="0" applyFont="1" applyFill="1" applyBorder="1" applyAlignment="1">
      <alignment vertical="center" wrapText="1"/>
    </xf>
    <xf numFmtId="185" fontId="56" fillId="4" borderId="68" xfId="2" applyNumberFormat="1" applyFont="1" applyFill="1" applyBorder="1" applyAlignment="1">
      <alignment horizontal="right" vertical="center" wrapText="1"/>
    </xf>
    <xf numFmtId="185" fontId="39" fillId="4" borderId="0" xfId="2" applyNumberFormat="1" applyFont="1" applyFill="1" applyBorder="1" applyAlignment="1">
      <alignment horizontal="right" vertical="center" wrapText="1"/>
    </xf>
    <xf numFmtId="0" fontId="58" fillId="4" borderId="0" xfId="0" applyFont="1" applyFill="1" applyAlignment="1">
      <alignment horizontal="center" vertical="center" wrapText="1"/>
    </xf>
    <xf numFmtId="1" fontId="39" fillId="4" borderId="13" xfId="0" applyNumberFormat="1" applyFont="1" applyFill="1" applyBorder="1" applyAlignment="1">
      <alignment horizontal="center" vertical="center" wrapText="1"/>
    </xf>
    <xf numFmtId="198" fontId="39" fillId="4" borderId="13" xfId="0" applyNumberFormat="1" applyFont="1" applyFill="1" applyBorder="1" applyAlignment="1">
      <alignment horizontal="center" vertical="center" wrapText="1"/>
    </xf>
    <xf numFmtId="1" fontId="39" fillId="4" borderId="0" xfId="0" applyNumberFormat="1" applyFont="1" applyFill="1" applyAlignment="1">
      <alignment horizontal="center" vertical="center" wrapText="1"/>
    </xf>
    <xf numFmtId="170" fontId="39" fillId="4" borderId="0" xfId="0" applyNumberFormat="1" applyFont="1" applyFill="1" applyAlignment="1">
      <alignment vertical="center" wrapText="1"/>
    </xf>
    <xf numFmtId="180" fontId="39" fillId="4" borderId="13" xfId="0" applyNumberFormat="1" applyFont="1" applyFill="1" applyBorder="1" applyAlignment="1">
      <alignment horizontal="center" vertical="center" wrapText="1"/>
    </xf>
    <xf numFmtId="0" fontId="39" fillId="4" borderId="0" xfId="0" applyFont="1" applyFill="1" applyAlignment="1">
      <alignment horizontal="center" vertical="center" wrapText="1"/>
    </xf>
    <xf numFmtId="0" fontId="39" fillId="4" borderId="25" xfId="0" applyFont="1" applyFill="1" applyBorder="1" applyAlignment="1">
      <alignment horizontal="center" vertical="center" wrapText="1"/>
    </xf>
    <xf numFmtId="0" fontId="56" fillId="4" borderId="21" xfId="0" applyFont="1" applyFill="1" applyBorder="1" applyAlignment="1">
      <alignment horizontal="center" vertical="center" wrapText="1"/>
    </xf>
    <xf numFmtId="1" fontId="56" fillId="4" borderId="21" xfId="0" applyNumberFormat="1" applyFont="1" applyFill="1" applyBorder="1" applyAlignment="1">
      <alignment horizontal="center" vertical="center" wrapText="1"/>
    </xf>
    <xf numFmtId="192" fontId="56" fillId="4" borderId="21" xfId="0" applyNumberFormat="1" applyFont="1" applyFill="1" applyBorder="1" applyAlignment="1">
      <alignment horizontal="center" vertical="center" wrapText="1"/>
    </xf>
    <xf numFmtId="3" fontId="39" fillId="4" borderId="68" xfId="15" applyNumberFormat="1" applyFont="1" applyFill="1" applyBorder="1" applyAlignment="1">
      <alignment horizontal="left" vertical="center" wrapText="1"/>
    </xf>
    <xf numFmtId="0" fontId="39" fillId="4" borderId="68" xfId="21" applyFont="1" applyFill="1" applyBorder="1" applyAlignment="1">
      <alignment horizontal="center" vertical="center" wrapText="1"/>
    </xf>
    <xf numFmtId="0" fontId="39" fillId="4" borderId="68" xfId="21" applyFont="1" applyFill="1" applyBorder="1" applyAlignment="1">
      <alignment horizontal="left" vertical="center" wrapText="1"/>
    </xf>
    <xf numFmtId="1" fontId="39" fillId="4" borderId="68" xfId="0" applyNumberFormat="1" applyFont="1" applyFill="1" applyBorder="1" applyAlignment="1">
      <alignment vertical="center" wrapText="1"/>
    </xf>
    <xf numFmtId="172" fontId="39" fillId="4" borderId="68" xfId="38" applyNumberFormat="1" applyFont="1" applyFill="1" applyBorder="1" applyAlignment="1">
      <alignment horizontal="left" vertical="center" wrapText="1"/>
    </xf>
    <xf numFmtId="185" fontId="39" fillId="4" borderId="68" xfId="0" applyNumberFormat="1" applyFont="1" applyFill="1" applyBorder="1" applyAlignment="1">
      <alignment vertical="center" wrapText="1"/>
    </xf>
    <xf numFmtId="185" fontId="59" fillId="4" borderId="68" xfId="2" applyNumberFormat="1" applyFont="1" applyFill="1" applyBorder="1" applyAlignment="1">
      <alignment vertical="center"/>
    </xf>
    <xf numFmtId="1" fontId="39" fillId="4" borderId="68" xfId="0" applyNumberFormat="1" applyFont="1" applyFill="1" applyBorder="1" applyAlignment="1">
      <alignment horizontal="center" vertical="center" wrapText="1"/>
    </xf>
    <xf numFmtId="185" fontId="39" fillId="4" borderId="68" xfId="0" applyNumberFormat="1" applyFont="1" applyFill="1" applyBorder="1" applyAlignment="1">
      <alignment horizontal="right" vertical="center" wrapText="1"/>
    </xf>
    <xf numFmtId="0" fontId="114" fillId="4" borderId="68" xfId="0" applyFont="1" applyFill="1" applyBorder="1" applyAlignment="1">
      <alignment horizontal="center" vertical="center" wrapText="1"/>
    </xf>
    <xf numFmtId="0" fontId="114" fillId="4" borderId="68" xfId="0" applyFont="1" applyFill="1" applyBorder="1" applyAlignment="1">
      <alignment horizontal="left" vertical="center" wrapText="1"/>
    </xf>
    <xf numFmtId="0" fontId="39" fillId="4" borderId="68" xfId="0" applyFont="1" applyFill="1" applyBorder="1" applyAlignment="1">
      <alignment horizontal="center" vertical="center" wrapText="1"/>
    </xf>
    <xf numFmtId="3" fontId="39" fillId="4" borderId="68" xfId="0" applyNumberFormat="1" applyFont="1" applyFill="1" applyBorder="1" applyAlignment="1">
      <alignment horizontal="center" vertical="center" wrapText="1"/>
    </xf>
    <xf numFmtId="3" fontId="39" fillId="4" borderId="68" xfId="0" applyNumberFormat="1" applyFont="1" applyFill="1" applyBorder="1" applyAlignment="1">
      <alignment vertical="center" wrapText="1"/>
    </xf>
    <xf numFmtId="3" fontId="39" fillId="4" borderId="68" xfId="0" applyNumberFormat="1" applyFont="1" applyFill="1" applyBorder="1" applyAlignment="1">
      <alignment horizontal="left" vertical="center" wrapText="1"/>
    </xf>
    <xf numFmtId="0" fontId="39" fillId="4" borderId="68" xfId="0" applyFont="1" applyFill="1" applyBorder="1" applyAlignment="1">
      <alignment horizontal="justify" vertical="center" wrapText="1"/>
    </xf>
    <xf numFmtId="0" fontId="173" fillId="4" borderId="0" xfId="0" applyFont="1" applyFill="1" applyAlignment="1">
      <alignment vertical="center" wrapText="1"/>
    </xf>
    <xf numFmtId="0" fontId="39" fillId="4" borderId="0" xfId="0" applyFont="1" applyFill="1" applyBorder="1" applyAlignment="1">
      <alignment vertical="center" wrapText="1"/>
    </xf>
    <xf numFmtId="185" fontId="56" fillId="4" borderId="68" xfId="0" applyNumberFormat="1" applyFont="1" applyFill="1" applyBorder="1" applyAlignment="1">
      <alignment vertical="center" wrapText="1"/>
    </xf>
    <xf numFmtId="185" fontId="150" fillId="4" borderId="68" xfId="0" applyNumberFormat="1" applyFont="1" applyFill="1" applyBorder="1" applyAlignment="1">
      <alignment vertical="center" wrapText="1"/>
    </xf>
    <xf numFmtId="185" fontId="39" fillId="4" borderId="68" xfId="0" applyNumberFormat="1" applyFont="1" applyFill="1" applyBorder="1" applyAlignment="1">
      <alignment vertical="top" wrapText="1"/>
    </xf>
    <xf numFmtId="185" fontId="62" fillId="4" borderId="68" xfId="0" applyNumberFormat="1" applyFont="1" applyFill="1" applyBorder="1" applyAlignment="1">
      <alignment wrapText="1"/>
    </xf>
    <xf numFmtId="185" fontId="59" fillId="4" borderId="68" xfId="0" applyNumberFormat="1" applyFont="1" applyFill="1" applyBorder="1" applyAlignment="1">
      <alignment wrapText="1"/>
    </xf>
    <xf numFmtId="185" fontId="62" fillId="4" borderId="68" xfId="2" applyNumberFormat="1" applyFont="1" applyFill="1" applyBorder="1" applyAlignment="1">
      <alignment horizontal="center"/>
    </xf>
    <xf numFmtId="185" fontId="171" fillId="4" borderId="68" xfId="0" applyNumberFormat="1" applyFont="1" applyFill="1" applyBorder="1"/>
    <xf numFmtId="185" fontId="59" fillId="4" borderId="68" xfId="2" applyNumberFormat="1" applyFont="1" applyFill="1" applyBorder="1"/>
    <xf numFmtId="185" fontId="172" fillId="4" borderId="68" xfId="2" applyNumberFormat="1" applyFont="1" applyFill="1" applyBorder="1"/>
    <xf numFmtId="185" fontId="62" fillId="4" borderId="68" xfId="2" applyNumberFormat="1" applyFont="1" applyFill="1" applyBorder="1" applyAlignment="1"/>
    <xf numFmtId="185" fontId="377" fillId="4" borderId="68" xfId="0" applyNumberFormat="1" applyFont="1" applyFill="1" applyBorder="1"/>
    <xf numFmtId="4" fontId="39" fillId="4" borderId="68" xfId="0" applyNumberFormat="1" applyFont="1" applyFill="1" applyBorder="1" applyAlignment="1">
      <alignment horizontal="center" vertical="center" wrapText="1"/>
    </xf>
    <xf numFmtId="170" fontId="39" fillId="4" borderId="68" xfId="2" applyFont="1" applyFill="1" applyBorder="1" applyAlignment="1">
      <alignment horizontal="center" vertical="center" wrapText="1"/>
    </xf>
    <xf numFmtId="175" fontId="39" fillId="4" borderId="68" xfId="0" applyNumberFormat="1" applyFont="1" applyFill="1" applyBorder="1" applyAlignment="1">
      <alignment horizontal="center" vertical="center" wrapText="1"/>
    </xf>
    <xf numFmtId="193" fontId="56" fillId="4" borderId="68" xfId="2" applyNumberFormat="1" applyFont="1" applyFill="1" applyBorder="1" applyAlignment="1">
      <alignment horizontal="center" vertical="center" wrapText="1"/>
    </xf>
    <xf numFmtId="1" fontId="56" fillId="4" borderId="68" xfId="0" applyNumberFormat="1" applyFont="1" applyFill="1" applyBorder="1" applyAlignment="1">
      <alignment horizontal="center" vertical="center" wrapText="1"/>
    </xf>
    <xf numFmtId="185" fontId="58" fillId="4" borderId="68" xfId="2" applyNumberFormat="1" applyFont="1" applyFill="1" applyBorder="1" applyAlignment="1">
      <alignment vertical="center" wrapText="1"/>
    </xf>
    <xf numFmtId="185" fontId="58" fillId="4" borderId="68" xfId="2" applyNumberFormat="1" applyFont="1" applyFill="1" applyBorder="1" applyAlignment="1">
      <alignment horizontal="right" vertical="center" wrapText="1"/>
    </xf>
    <xf numFmtId="1" fontId="170" fillId="4" borderId="68" xfId="0" applyNumberFormat="1" applyFont="1" applyFill="1" applyBorder="1" applyAlignment="1">
      <alignment horizontal="center" vertical="center" wrapText="1"/>
    </xf>
    <xf numFmtId="193" fontId="39" fillId="4" borderId="68" xfId="2" applyNumberFormat="1" applyFont="1" applyFill="1" applyBorder="1" applyAlignment="1">
      <alignment horizontal="center" vertical="center" wrapText="1"/>
    </xf>
    <xf numFmtId="0" fontId="114" fillId="4" borderId="68" xfId="21" applyFont="1" applyFill="1" applyBorder="1" applyAlignment="1">
      <alignment horizontal="center" vertical="center" wrapText="1"/>
    </xf>
    <xf numFmtId="0" fontId="376" fillId="4" borderId="68" xfId="21" applyFont="1" applyFill="1" applyBorder="1" applyAlignment="1">
      <alignment horizontal="center" vertical="center" wrapText="1"/>
    </xf>
    <xf numFmtId="0" fontId="376" fillId="4" borderId="68" xfId="0" applyFont="1" applyFill="1" applyBorder="1" applyAlignment="1">
      <alignment horizontal="left" vertical="center" wrapText="1"/>
    </xf>
    <xf numFmtId="0" fontId="39" fillId="4" borderId="68" xfId="0" applyFont="1" applyFill="1" applyBorder="1" applyAlignment="1">
      <alignment horizontal="left" vertical="center" wrapText="1"/>
    </xf>
    <xf numFmtId="0" fontId="115" fillId="4" borderId="68" xfId="21" applyFont="1" applyFill="1" applyBorder="1" applyAlignment="1">
      <alignment horizontal="center" vertical="center" wrapText="1"/>
    </xf>
    <xf numFmtId="0" fontId="115" fillId="4" borderId="68" xfId="0" applyFont="1" applyFill="1" applyBorder="1" applyAlignment="1">
      <alignment horizontal="left" vertical="center" wrapText="1"/>
    </xf>
    <xf numFmtId="3" fontId="39" fillId="4" borderId="68" xfId="15" applyNumberFormat="1" applyFont="1" applyFill="1" applyBorder="1" applyAlignment="1">
      <alignment horizontal="center" vertical="center" wrapText="1"/>
    </xf>
    <xf numFmtId="0" fontId="39" fillId="4" borderId="68" xfId="34" applyFont="1" applyFill="1" applyBorder="1" applyAlignment="1">
      <alignment horizontal="left" vertical="center" wrapText="1"/>
    </xf>
    <xf numFmtId="185" fontId="39" fillId="4" borderId="68" xfId="15" applyNumberFormat="1" applyFont="1" applyFill="1" applyBorder="1" applyAlignment="1">
      <alignment horizontal="right" vertical="center" wrapText="1"/>
    </xf>
    <xf numFmtId="0" fontId="39" fillId="4" borderId="68" xfId="2286" applyFont="1" applyFill="1" applyBorder="1" applyAlignment="1" applyProtection="1">
      <alignment horizontal="left" vertical="center" wrapText="1"/>
      <protection locked="0"/>
    </xf>
    <xf numFmtId="3" fontId="115" fillId="4" borderId="68" xfId="0" applyNumberFormat="1" applyFont="1" applyFill="1" applyBorder="1" applyAlignment="1">
      <alignment horizontal="left" vertical="center" wrapText="1"/>
    </xf>
    <xf numFmtId="3" fontId="114" fillId="4" borderId="68" xfId="0" applyNumberFormat="1" applyFont="1" applyFill="1" applyBorder="1" applyAlignment="1">
      <alignment horizontal="left" vertical="center" wrapText="1"/>
    </xf>
    <xf numFmtId="0" fontId="56" fillId="4" borderId="68" xfId="0" applyFont="1" applyFill="1" applyBorder="1" applyAlignment="1">
      <alignment horizontal="center" vertical="center" wrapText="1"/>
    </xf>
    <xf numFmtId="0" fontId="56" fillId="4" borderId="68" xfId="0" applyFont="1" applyFill="1" applyBorder="1" applyAlignment="1">
      <alignment horizontal="left" vertical="center" wrapText="1"/>
    </xf>
    <xf numFmtId="3" fontId="39" fillId="0" borderId="68" xfId="15" applyNumberFormat="1" applyFont="1" applyBorder="1" applyAlignment="1">
      <alignment horizontal="center" vertical="center" wrapText="1"/>
    </xf>
    <xf numFmtId="3" fontId="52" fillId="0" borderId="68" xfId="15" applyNumberFormat="1" applyFont="1" applyBorder="1" applyAlignment="1">
      <alignment horizontal="center" vertical="center" wrapText="1"/>
    </xf>
    <xf numFmtId="3" fontId="39" fillId="0" borderId="68" xfId="15" quotePrefix="1" applyNumberFormat="1" applyFont="1" applyBorder="1" applyAlignment="1">
      <alignment horizontal="center" vertical="center" wrapText="1"/>
    </xf>
    <xf numFmtId="0" fontId="48" fillId="4" borderId="0" xfId="0" applyFont="1" applyFill="1" applyAlignment="1">
      <alignment horizontal="center" vertical="center" wrapText="1"/>
    </xf>
    <xf numFmtId="0" fontId="49" fillId="4" borderId="0" xfId="0" applyFont="1" applyFill="1" applyAlignment="1">
      <alignment horizontal="center" vertical="center" wrapText="1"/>
    </xf>
    <xf numFmtId="0" fontId="46" fillId="4" borderId="0" xfId="0" applyFont="1" applyFill="1" applyAlignment="1">
      <alignment horizontal="center" vertical="center" wrapText="1"/>
    </xf>
    <xf numFmtId="0" fontId="117" fillId="4" borderId="4" xfId="0" applyFont="1" applyFill="1" applyBorder="1" applyAlignment="1">
      <alignment horizontal="center" vertical="center" wrapText="1"/>
    </xf>
    <xf numFmtId="0" fontId="117" fillId="4" borderId="4" xfId="0" applyFont="1" applyFill="1" applyBorder="1" applyAlignment="1">
      <alignment vertical="center" wrapText="1"/>
    </xf>
    <xf numFmtId="0" fontId="117" fillId="4" borderId="5" xfId="0" applyFont="1" applyFill="1" applyBorder="1" applyAlignment="1">
      <alignment horizontal="center" vertical="center" wrapText="1"/>
    </xf>
    <xf numFmtId="182" fontId="61" fillId="4" borderId="5" xfId="2" applyNumberFormat="1" applyFont="1" applyFill="1" applyBorder="1" applyAlignment="1">
      <alignment horizontal="right" vertical="center" wrapText="1"/>
    </xf>
    <xf numFmtId="0" fontId="61" fillId="4" borderId="5" xfId="41" applyFont="1" applyFill="1" applyBorder="1" applyAlignment="1">
      <alignment horizontal="left" vertical="center"/>
    </xf>
    <xf numFmtId="0" fontId="117" fillId="4" borderId="5" xfId="0" applyFont="1" applyFill="1" applyBorder="1" applyAlignment="1">
      <alignment horizontal="justify" vertical="center" wrapText="1"/>
    </xf>
    <xf numFmtId="0" fontId="117" fillId="4" borderId="6" xfId="0" applyFont="1" applyFill="1" applyBorder="1" applyAlignment="1">
      <alignment vertical="center" wrapText="1"/>
    </xf>
    <xf numFmtId="182" fontId="48" fillId="4" borderId="6" xfId="2" applyNumberFormat="1" applyFont="1" applyFill="1" applyBorder="1" applyAlignment="1">
      <alignment horizontal="right" vertical="center" wrapText="1"/>
    </xf>
    <xf numFmtId="0" fontId="48" fillId="4" borderId="5" xfId="0" applyFont="1" applyFill="1" applyBorder="1" applyAlignment="1">
      <alignment horizontal="justify" vertical="center" wrapText="1"/>
    </xf>
    <xf numFmtId="0" fontId="48" fillId="4" borderId="5" xfId="0" applyFont="1" applyFill="1" applyBorder="1" applyAlignment="1">
      <alignment vertical="center" wrapText="1"/>
    </xf>
    <xf numFmtId="0" fontId="48" fillId="4" borderId="6" xfId="0" applyFont="1" applyFill="1" applyBorder="1" applyAlignment="1">
      <alignment horizontal="center" vertical="center" wrapText="1"/>
    </xf>
    <xf numFmtId="0" fontId="48" fillId="4" borderId="6" xfId="0" applyFont="1" applyFill="1" applyBorder="1" applyAlignment="1">
      <alignment vertical="center" wrapText="1"/>
    </xf>
    <xf numFmtId="186" fontId="39" fillId="4" borderId="0" xfId="0" applyNumberFormat="1" applyFont="1" applyFill="1"/>
    <xf numFmtId="197" fontId="52" fillId="4" borderId="0" xfId="0" applyNumberFormat="1" applyFont="1" applyFill="1"/>
    <xf numFmtId="0" fontId="56" fillId="4" borderId="3" xfId="0" applyFont="1" applyFill="1" applyBorder="1" applyAlignment="1">
      <alignment horizontal="center" vertical="center" wrapText="1"/>
    </xf>
    <xf numFmtId="0" fontId="58" fillId="4" borderId="3" xfId="0" applyFont="1" applyFill="1" applyBorder="1" applyAlignment="1">
      <alignment horizontal="center" vertical="center" wrapText="1"/>
    </xf>
    <xf numFmtId="170" fontId="58" fillId="4" borderId="3" xfId="2" applyFont="1" applyFill="1" applyBorder="1" applyAlignment="1">
      <alignment horizontal="center" vertical="center" wrapText="1"/>
    </xf>
    <xf numFmtId="0" fontId="58" fillId="4" borderId="0" xfId="0" applyFont="1" applyFill="1"/>
    <xf numFmtId="0" fontId="132" fillId="4" borderId="4" xfId="0" applyFont="1" applyFill="1" applyBorder="1" applyAlignment="1">
      <alignment horizontal="center" vertical="center" wrapText="1"/>
    </xf>
    <xf numFmtId="0" fontId="132" fillId="4" borderId="4" xfId="0" applyFont="1" applyFill="1" applyBorder="1" applyAlignment="1">
      <alignment vertical="center" wrapText="1"/>
    </xf>
    <xf numFmtId="170" fontId="132" fillId="4" borderId="4" xfId="2" applyFont="1" applyFill="1" applyBorder="1" applyAlignment="1">
      <alignment horizontal="center" vertical="center" wrapText="1"/>
    </xf>
    <xf numFmtId="186" fontId="132" fillId="4" borderId="0" xfId="0" applyNumberFormat="1" applyFont="1" applyFill="1"/>
    <xf numFmtId="0" fontId="132" fillId="4" borderId="5" xfId="0" applyFont="1" applyFill="1" applyBorder="1" applyAlignment="1">
      <alignment horizontal="center" vertical="center" wrapText="1"/>
    </xf>
    <xf numFmtId="0" fontId="132" fillId="4" borderId="5" xfId="0" applyFont="1" applyFill="1" applyBorder="1" applyAlignment="1">
      <alignment vertical="center" wrapText="1"/>
    </xf>
    <xf numFmtId="170" fontId="132" fillId="4" borderId="5" xfId="2" applyFont="1" applyFill="1" applyBorder="1" applyAlignment="1">
      <alignment horizontal="center" vertical="center" wrapText="1"/>
    </xf>
    <xf numFmtId="179" fontId="132" fillId="4" borderId="0" xfId="0" applyNumberFormat="1" applyFont="1" applyFill="1"/>
    <xf numFmtId="0" fontId="133" fillId="4" borderId="5" xfId="0" applyFont="1" applyFill="1" applyBorder="1" applyAlignment="1">
      <alignment horizontal="center" vertical="center" wrapText="1"/>
    </xf>
    <xf numFmtId="0" fontId="133" fillId="4" borderId="5" xfId="0" applyFont="1" applyFill="1" applyBorder="1" applyAlignment="1">
      <alignment vertical="center" wrapText="1"/>
    </xf>
    <xf numFmtId="170" fontId="133" fillId="4" borderId="5" xfId="2" applyFont="1" applyFill="1" applyBorder="1" applyAlignment="1">
      <alignment horizontal="center" vertical="center" wrapText="1"/>
    </xf>
    <xf numFmtId="186" fontId="133" fillId="4" borderId="0" xfId="0" applyNumberFormat="1" applyFont="1" applyFill="1"/>
    <xf numFmtId="0" fontId="134" fillId="4" borderId="5" xfId="0" applyFont="1" applyFill="1" applyBorder="1" applyAlignment="1">
      <alignment vertical="center" wrapText="1"/>
    </xf>
    <xf numFmtId="0" fontId="134" fillId="4" borderId="5" xfId="0" applyFont="1" applyFill="1" applyBorder="1" applyAlignment="1">
      <alignment horizontal="center" vertical="center" wrapText="1"/>
    </xf>
    <xf numFmtId="170" fontId="134" fillId="4" borderId="5" xfId="2" applyFont="1" applyFill="1" applyBorder="1" applyAlignment="1">
      <alignment horizontal="center" vertical="center" wrapText="1"/>
    </xf>
    <xf numFmtId="0" fontId="133" fillId="4" borderId="5" xfId="0" applyFont="1" applyFill="1" applyBorder="1" applyAlignment="1">
      <alignment horizontal="justify" vertical="center" wrapText="1"/>
    </xf>
    <xf numFmtId="0" fontId="133" fillId="4" borderId="0" xfId="0" applyFont="1" applyFill="1"/>
    <xf numFmtId="0" fontId="132" fillId="4" borderId="0" xfId="0" applyFont="1" applyFill="1"/>
    <xf numFmtId="0" fontId="132" fillId="4" borderId="5" xfId="0" applyFont="1" applyFill="1" applyBorder="1" applyAlignment="1">
      <alignment horizontal="justify" vertical="center" wrapText="1"/>
    </xf>
    <xf numFmtId="0" fontId="134" fillId="4" borderId="5" xfId="0" applyFont="1" applyFill="1" applyBorder="1" applyAlignment="1">
      <alignment horizontal="justify" vertical="center" wrapText="1"/>
    </xf>
    <xf numFmtId="179" fontId="134" fillId="4" borderId="0" xfId="0" applyNumberFormat="1" applyFont="1" applyFill="1"/>
    <xf numFmtId="0" fontId="134" fillId="4" borderId="0" xfId="0" applyFont="1" applyFill="1"/>
    <xf numFmtId="0" fontId="58" fillId="4" borderId="5" xfId="0" applyFont="1" applyFill="1" applyBorder="1" applyAlignment="1">
      <alignment horizontal="center" vertical="center" wrapText="1"/>
    </xf>
    <xf numFmtId="170" fontId="58" fillId="4" borderId="5" xfId="2" applyFont="1" applyFill="1" applyBorder="1" applyAlignment="1">
      <alignment horizontal="center" vertical="center" wrapText="1"/>
    </xf>
    <xf numFmtId="186" fontId="58" fillId="4" borderId="0" xfId="0" applyNumberFormat="1" applyFont="1" applyFill="1"/>
    <xf numFmtId="186" fontId="58" fillId="5" borderId="0" xfId="0" applyNumberFormat="1" applyFont="1" applyFill="1"/>
    <xf numFmtId="182" fontId="56" fillId="4" borderId="5" xfId="2" applyNumberFormat="1" applyFont="1" applyFill="1" applyBorder="1" applyAlignment="1">
      <alignment horizontal="right" vertical="center" wrapText="1"/>
    </xf>
    <xf numFmtId="182" fontId="132" fillId="4" borderId="4" xfId="2" applyNumberFormat="1" applyFont="1" applyFill="1" applyBorder="1" applyAlignment="1">
      <alignment horizontal="right" vertical="center" wrapText="1"/>
    </xf>
    <xf numFmtId="182" fontId="132" fillId="4" borderId="5" xfId="2" applyNumberFormat="1" applyFont="1" applyFill="1" applyBorder="1" applyAlignment="1">
      <alignment horizontal="right" vertical="center" wrapText="1"/>
    </xf>
    <xf numFmtId="182" fontId="133" fillId="4" borderId="5" xfId="2" applyNumberFormat="1" applyFont="1" applyFill="1" applyBorder="1" applyAlignment="1">
      <alignment horizontal="right" vertical="center" wrapText="1"/>
    </xf>
    <xf numFmtId="182" fontId="134" fillId="4" borderId="5" xfId="2" applyNumberFormat="1" applyFont="1" applyFill="1" applyBorder="1" applyAlignment="1">
      <alignment horizontal="right" vertical="center" wrapText="1"/>
    </xf>
    <xf numFmtId="182" fontId="58" fillId="4" borderId="5" xfId="2" applyNumberFormat="1" applyFont="1" applyFill="1" applyBorder="1" applyAlignment="1">
      <alignment horizontal="right" vertical="center" wrapText="1"/>
    </xf>
    <xf numFmtId="182" fontId="132" fillId="4" borderId="5" xfId="0" applyNumberFormat="1" applyFont="1" applyFill="1" applyBorder="1" applyAlignment="1">
      <alignment horizontal="right" vertical="center"/>
    </xf>
    <xf numFmtId="170" fontId="39" fillId="0" borderId="5" xfId="2287" applyFont="1" applyFill="1" applyBorder="1" applyAlignment="1">
      <alignment horizontal="left" vertical="center" wrapText="1"/>
    </xf>
    <xf numFmtId="3" fontId="59" fillId="4" borderId="5" xfId="19" applyNumberFormat="1" applyFont="1" applyFill="1" applyBorder="1" applyAlignment="1">
      <alignment horizontal="left" vertical="center" wrapText="1"/>
    </xf>
    <xf numFmtId="170" fontId="379" fillId="4" borderId="5" xfId="2" applyFont="1" applyFill="1" applyBorder="1" applyAlignment="1">
      <alignment horizontal="center" vertical="center" wrapText="1"/>
    </xf>
    <xf numFmtId="0" fontId="55" fillId="4" borderId="69" xfId="0" applyFont="1" applyFill="1" applyBorder="1" applyAlignment="1">
      <alignment horizontal="center" vertical="center" wrapText="1"/>
    </xf>
    <xf numFmtId="0" fontId="55" fillId="4" borderId="69" xfId="0" applyFont="1" applyFill="1" applyBorder="1" applyAlignment="1">
      <alignment vertical="center" wrapText="1"/>
    </xf>
    <xf numFmtId="182" fontId="55" fillId="4" borderId="69" xfId="2" applyNumberFormat="1" applyFont="1" applyFill="1" applyBorder="1" applyAlignment="1">
      <alignment horizontal="right" vertical="center" wrapText="1"/>
    </xf>
    <xf numFmtId="170" fontId="55" fillId="4" borderId="69" xfId="2" applyFont="1" applyFill="1" applyBorder="1" applyAlignment="1">
      <alignment vertical="center" wrapText="1"/>
    </xf>
    <xf numFmtId="0" fontId="51" fillId="4" borderId="69" xfId="0" applyFont="1" applyFill="1" applyBorder="1" applyAlignment="1">
      <alignment horizontal="center" vertical="center" wrapText="1"/>
    </xf>
    <xf numFmtId="0" fontId="51" fillId="4" borderId="69" xfId="0" applyFont="1" applyFill="1" applyBorder="1" applyAlignment="1">
      <alignment vertical="center" wrapText="1"/>
    </xf>
    <xf numFmtId="182" fontId="51" fillId="4" borderId="69" xfId="2" applyNumberFormat="1" applyFont="1" applyFill="1" applyBorder="1" applyAlignment="1">
      <alignment horizontal="right" vertical="center" wrapText="1"/>
    </xf>
    <xf numFmtId="170" fontId="51" fillId="4" borderId="69" xfId="2" applyFont="1" applyFill="1" applyBorder="1" applyAlignment="1">
      <alignment vertical="center" wrapText="1"/>
    </xf>
    <xf numFmtId="0" fontId="71" fillId="4" borderId="69" xfId="0" applyFont="1" applyFill="1" applyBorder="1" applyAlignment="1">
      <alignment vertical="center" wrapText="1"/>
    </xf>
    <xf numFmtId="0" fontId="71" fillId="4" borderId="69" xfId="0" applyFont="1" applyFill="1" applyBorder="1" applyAlignment="1">
      <alignment horizontal="center" vertical="center" wrapText="1"/>
    </xf>
    <xf numFmtId="0" fontId="51" fillId="4" borderId="69" xfId="0" applyFont="1" applyFill="1" applyBorder="1" applyAlignment="1">
      <alignment horizontal="justify" vertical="center" wrapText="1"/>
    </xf>
    <xf numFmtId="0" fontId="55" fillId="4" borderId="69" xfId="0" applyFont="1" applyFill="1" applyBorder="1" applyAlignment="1">
      <alignment horizontal="justify" vertical="center" wrapText="1"/>
    </xf>
    <xf numFmtId="0" fontId="71" fillId="4" borderId="69" xfId="0" applyFont="1" applyFill="1" applyBorder="1" applyAlignment="1">
      <alignment horizontal="justify" vertical="center" wrapText="1"/>
    </xf>
    <xf numFmtId="0" fontId="51" fillId="4" borderId="69" xfId="0" applyFont="1" applyFill="1" applyBorder="1" applyAlignment="1">
      <alignment vertical="center"/>
    </xf>
    <xf numFmtId="0" fontId="374" fillId="0" borderId="69" xfId="0" applyFont="1" applyBorder="1" applyAlignment="1">
      <alignment horizontal="center" vertical="center" wrapText="1"/>
    </xf>
    <xf numFmtId="0" fontId="374" fillId="0" borderId="69" xfId="0" applyFont="1" applyBorder="1" applyAlignment="1">
      <alignment vertical="center" wrapText="1"/>
    </xf>
    <xf numFmtId="0" fontId="156" fillId="4" borderId="69" xfId="0" applyFont="1" applyFill="1" applyBorder="1" applyAlignment="1">
      <alignment horizontal="center" vertical="center" wrapText="1"/>
    </xf>
    <xf numFmtId="0" fontId="156" fillId="4" borderId="69" xfId="0" applyFont="1" applyFill="1" applyBorder="1" applyAlignment="1">
      <alignment vertical="center" wrapText="1"/>
    </xf>
    <xf numFmtId="182" fontId="157" fillId="4" borderId="69" xfId="2" applyNumberFormat="1" applyFont="1" applyFill="1" applyBorder="1" applyAlignment="1">
      <alignment horizontal="right" vertical="center" wrapText="1"/>
    </xf>
    <xf numFmtId="171" fontId="158" fillId="4" borderId="69" xfId="2" applyNumberFormat="1" applyFont="1" applyFill="1" applyBorder="1" applyAlignment="1">
      <alignment vertical="center" wrapText="1"/>
    </xf>
    <xf numFmtId="171" fontId="158" fillId="4" borderId="69" xfId="2" applyNumberFormat="1" applyFont="1" applyFill="1" applyBorder="1" applyAlignment="1">
      <alignment vertical="center"/>
    </xf>
    <xf numFmtId="0" fontId="101" fillId="0" borderId="69" xfId="0" applyFont="1" applyBorder="1" applyAlignment="1">
      <alignment horizontal="center" vertical="center" wrapText="1"/>
    </xf>
    <xf numFmtId="0" fontId="101" fillId="0" borderId="69" xfId="0" applyFont="1" applyBorder="1" applyAlignment="1">
      <alignment vertical="center" wrapText="1"/>
    </xf>
    <xf numFmtId="182" fontId="158" fillId="4" borderId="69" xfId="2" applyNumberFormat="1" applyFont="1" applyFill="1" applyBorder="1" applyAlignment="1">
      <alignment horizontal="right" vertical="center" wrapText="1"/>
    </xf>
    <xf numFmtId="182" fontId="159" fillId="4" borderId="69" xfId="2" applyNumberFormat="1" applyFont="1" applyFill="1" applyBorder="1" applyAlignment="1">
      <alignment horizontal="right" vertical="center" wrapText="1"/>
    </xf>
    <xf numFmtId="172" fontId="158" fillId="4" borderId="69" xfId="2" applyNumberFormat="1" applyFont="1" applyFill="1" applyBorder="1" applyAlignment="1">
      <alignment vertical="center"/>
    </xf>
    <xf numFmtId="0" fontId="44" fillId="4" borderId="69" xfId="0" applyFont="1" applyFill="1" applyBorder="1" applyAlignment="1">
      <alignment horizontal="center" vertical="center" wrapText="1"/>
    </xf>
    <xf numFmtId="0" fontId="55" fillId="4" borderId="3" xfId="0" applyFont="1" applyFill="1" applyBorder="1" applyAlignment="1">
      <alignment horizontal="center" vertical="center" wrapText="1"/>
    </xf>
    <xf numFmtId="179" fontId="55" fillId="4" borderId="3" xfId="2" applyNumberFormat="1" applyFont="1" applyFill="1" applyBorder="1" applyAlignment="1">
      <alignment horizontal="center" vertical="center" wrapText="1"/>
    </xf>
    <xf numFmtId="0" fontId="39" fillId="4" borderId="21" xfId="0" applyFont="1" applyFill="1" applyBorder="1" applyAlignment="1">
      <alignment horizontal="center" vertical="center" wrapText="1"/>
    </xf>
    <xf numFmtId="0" fontId="51" fillId="4" borderId="5" xfId="0" applyFont="1" applyFill="1" applyBorder="1" applyAlignment="1">
      <alignment horizontal="center" vertical="center" wrapText="1"/>
    </xf>
    <xf numFmtId="0" fontId="51" fillId="4" borderId="5" xfId="0" applyFont="1" applyFill="1" applyBorder="1" applyAlignment="1">
      <alignment horizontal="justify" vertical="center" wrapText="1"/>
    </xf>
    <xf numFmtId="0" fontId="48" fillId="4" borderId="0" xfId="0" applyFont="1" applyFill="1" applyAlignment="1">
      <alignment horizontal="center" vertical="center" wrapText="1"/>
    </xf>
    <xf numFmtId="0" fontId="46" fillId="4" borderId="0" xfId="0" applyFont="1" applyFill="1" applyAlignment="1">
      <alignment horizontal="center" vertical="center" wrapText="1"/>
    </xf>
    <xf numFmtId="182" fontId="71" fillId="4" borderId="69" xfId="2" applyNumberFormat="1" applyFont="1" applyFill="1" applyBorder="1" applyAlignment="1">
      <alignment horizontal="right" vertical="center" wrapText="1"/>
    </xf>
    <xf numFmtId="170" fontId="71" fillId="4" borderId="69" xfId="2" applyFont="1" applyFill="1" applyBorder="1" applyAlignment="1">
      <alignment vertical="center" wrapText="1"/>
    </xf>
    <xf numFmtId="0" fontId="71" fillId="5" borderId="0" xfId="0" applyFont="1" applyFill="1"/>
    <xf numFmtId="0" fontId="380" fillId="5" borderId="0" xfId="0" applyFont="1" applyFill="1"/>
    <xf numFmtId="177" fontId="55" fillId="4" borderId="3" xfId="2" applyNumberFormat="1" applyFont="1" applyFill="1" applyBorder="1" applyAlignment="1">
      <alignment horizontal="center" vertical="center" wrapText="1"/>
    </xf>
    <xf numFmtId="170" fontId="55" fillId="4" borderId="3" xfId="2" applyFont="1" applyFill="1" applyBorder="1" applyAlignment="1">
      <alignment horizontal="center" vertical="center" wrapText="1"/>
    </xf>
    <xf numFmtId="170" fontId="51" fillId="0" borderId="69" xfId="2287" applyFont="1" applyFill="1" applyBorder="1" applyAlignment="1">
      <alignment horizontal="left" vertical="center" wrapText="1"/>
    </xf>
    <xf numFmtId="3" fontId="46" fillId="4" borderId="69" xfId="19" applyNumberFormat="1" applyFont="1" applyFill="1" applyBorder="1" applyAlignment="1">
      <alignment horizontal="left" vertical="center" wrapText="1"/>
    </xf>
    <xf numFmtId="0" fontId="161" fillId="0" borderId="69" xfId="0" applyFont="1" applyBorder="1" applyAlignment="1">
      <alignment vertical="center" wrapText="1"/>
    </xf>
    <xf numFmtId="182" fontId="161" fillId="0" borderId="69" xfId="0" applyNumberFormat="1" applyFont="1" applyBorder="1" applyAlignment="1">
      <alignment horizontal="right" vertical="center" wrapText="1"/>
    </xf>
    <xf numFmtId="170" fontId="56" fillId="4" borderId="4" xfId="2" applyFont="1" applyFill="1" applyBorder="1" applyAlignment="1">
      <alignment horizontal="center" vertical="center" wrapText="1"/>
    </xf>
    <xf numFmtId="182" fontId="56" fillId="4" borderId="3" xfId="2" applyNumberFormat="1" applyFont="1" applyFill="1" applyBorder="1" applyAlignment="1">
      <alignment horizontal="right" vertical="center" wrapText="1"/>
    </xf>
    <xf numFmtId="182" fontId="56" fillId="4" borderId="4" xfId="2" applyNumberFormat="1" applyFont="1" applyFill="1" applyBorder="1" applyAlignment="1">
      <alignment horizontal="right" vertical="center" wrapText="1"/>
    </xf>
    <xf numFmtId="182" fontId="39" fillId="4" borderId="5" xfId="2" applyNumberFormat="1" applyFont="1" applyFill="1" applyBorder="1" applyAlignment="1">
      <alignment horizontal="right" vertical="center" wrapText="1"/>
    </xf>
    <xf numFmtId="182" fontId="56" fillId="4" borderId="6" xfId="2" applyNumberFormat="1" applyFont="1" applyFill="1" applyBorder="1" applyAlignment="1">
      <alignment horizontal="right" vertical="center" wrapText="1"/>
    </xf>
    <xf numFmtId="182" fontId="45" fillId="0" borderId="5" xfId="0" applyNumberFormat="1" applyFont="1" applyBorder="1" applyAlignment="1">
      <alignment horizontal="right" vertical="center" wrapText="1"/>
    </xf>
    <xf numFmtId="182" fontId="45" fillId="0" borderId="5" xfId="0" applyNumberFormat="1" applyFont="1" applyBorder="1" applyAlignment="1">
      <alignment horizontal="center" vertical="center" wrapText="1"/>
    </xf>
    <xf numFmtId="0" fontId="49" fillId="4" borderId="5" xfId="0" applyFont="1" applyFill="1" applyBorder="1" applyAlignment="1">
      <alignment vertical="center" wrapText="1"/>
    </xf>
    <xf numFmtId="0" fontId="49" fillId="4" borderId="5" xfId="0" applyFont="1" applyFill="1" applyBorder="1" applyAlignment="1">
      <alignment horizontal="right" vertical="center" wrapText="1"/>
    </xf>
    <xf numFmtId="172" fontId="46" fillId="4" borderId="5" xfId="0" applyNumberFormat="1" applyFont="1" applyFill="1" applyBorder="1" applyAlignment="1">
      <alignment horizontal="center" vertical="center" wrapText="1"/>
    </xf>
    <xf numFmtId="0" fontId="48" fillId="4" borderId="5" xfId="0" applyFont="1" applyFill="1" applyBorder="1" applyAlignment="1">
      <alignment horizontal="right" vertical="center" wrapText="1"/>
    </xf>
    <xf numFmtId="0" fontId="48" fillId="4" borderId="6" xfId="0" applyFont="1" applyFill="1" applyBorder="1" applyAlignment="1">
      <alignment horizontal="right" vertical="center" wrapText="1"/>
    </xf>
    <xf numFmtId="170" fontId="61" fillId="4" borderId="7" xfId="2" applyFont="1" applyFill="1" applyBorder="1" applyAlignment="1">
      <alignment horizontal="center" vertical="center" wrapText="1"/>
    </xf>
    <xf numFmtId="170" fontId="117" fillId="4" borderId="69" xfId="2" applyFont="1" applyFill="1" applyBorder="1" applyAlignment="1">
      <alignment horizontal="center" vertical="center" wrapText="1"/>
    </xf>
    <xf numFmtId="0" fontId="163" fillId="4" borderId="21" xfId="0" applyFont="1" applyFill="1" applyBorder="1" applyAlignment="1">
      <alignment horizontal="center" vertical="center" wrapText="1"/>
    </xf>
    <xf numFmtId="0" fontId="163" fillId="4" borderId="21" xfId="0" applyFont="1" applyFill="1" applyBorder="1" applyAlignment="1">
      <alignment vertical="center" wrapText="1"/>
    </xf>
    <xf numFmtId="179" fontId="61" fillId="4" borderId="0" xfId="2" applyNumberFormat="1" applyFont="1" applyFill="1" applyBorder="1" applyAlignment="1">
      <alignment horizontal="center" vertical="center" wrapText="1"/>
    </xf>
    <xf numFmtId="0" fontId="55" fillId="0" borderId="25" xfId="0" applyFont="1" applyFill="1" applyBorder="1" applyAlignment="1">
      <alignment horizontal="center" vertical="center" wrapText="1"/>
    </xf>
    <xf numFmtId="185" fontId="55" fillId="0" borderId="25" xfId="0" applyNumberFormat="1" applyFont="1" applyFill="1" applyBorder="1" applyAlignment="1">
      <alignment horizontal="right" vertical="center" wrapText="1"/>
    </xf>
    <xf numFmtId="0" fontId="51" fillId="0" borderId="0" xfId="0" applyFont="1" applyFill="1" applyAlignment="1">
      <alignment horizontal="center" vertical="center" wrapText="1"/>
    </xf>
    <xf numFmtId="185" fontId="51" fillId="0" borderId="0" xfId="0" applyNumberFormat="1" applyFont="1" applyFill="1" applyAlignment="1">
      <alignment horizontal="center" vertical="center" wrapText="1"/>
    </xf>
    <xf numFmtId="0" fontId="46" fillId="0" borderId="5" xfId="0" applyFont="1" applyFill="1" applyBorder="1" applyAlignment="1">
      <alignment horizontal="center" vertical="center" wrapText="1"/>
    </xf>
    <xf numFmtId="0" fontId="46" fillId="0" borderId="5" xfId="6" applyFont="1" applyFill="1" applyBorder="1" applyAlignment="1">
      <alignment horizontal="left" vertical="center" wrapText="1"/>
    </xf>
    <xf numFmtId="185" fontId="46" fillId="0" borderId="5" xfId="0" applyNumberFormat="1" applyFont="1" applyFill="1" applyBorder="1" applyAlignment="1">
      <alignment horizontal="right" vertical="center" wrapText="1"/>
    </xf>
    <xf numFmtId="49" fontId="46" fillId="0" borderId="6" xfId="5" applyNumberFormat="1" applyFont="1" applyFill="1" applyBorder="1" applyAlignment="1">
      <alignment horizontal="center" vertical="center" wrapText="1"/>
    </xf>
    <xf numFmtId="179" fontId="117" fillId="4" borderId="0" xfId="2" applyNumberFormat="1" applyFont="1" applyFill="1" applyBorder="1" applyAlignment="1">
      <alignment horizontal="center" vertical="center" wrapText="1"/>
    </xf>
    <xf numFmtId="0" fontId="46" fillId="0" borderId="5" xfId="0" applyFont="1" applyFill="1" applyBorder="1" applyAlignment="1">
      <alignment horizontal="left" vertical="center" wrapText="1"/>
    </xf>
    <xf numFmtId="185" fontId="51" fillId="0" borderId="5" xfId="2" applyNumberFormat="1" applyFont="1" applyFill="1" applyBorder="1" applyAlignment="1">
      <alignment horizontal="right" vertical="center" wrapText="1"/>
    </xf>
    <xf numFmtId="185" fontId="51" fillId="0" borderId="5" xfId="0" applyNumberFormat="1" applyFont="1" applyFill="1" applyBorder="1" applyAlignment="1">
      <alignment horizontal="right" vertical="center" wrapText="1"/>
    </xf>
    <xf numFmtId="0" fontId="46" fillId="0" borderId="6" xfId="5" applyFont="1" applyFill="1" applyBorder="1" applyAlignment="1">
      <alignment horizontal="left" vertical="center" wrapText="1"/>
    </xf>
    <xf numFmtId="185" fontId="46" fillId="0" borderId="6" xfId="2" applyNumberFormat="1" applyFont="1" applyFill="1" applyBorder="1" applyAlignment="1">
      <alignment horizontal="right" vertical="center" wrapText="1"/>
    </xf>
    <xf numFmtId="182" fontId="71" fillId="4" borderId="5" xfId="2" applyNumberFormat="1" applyFont="1" applyFill="1" applyBorder="1" applyAlignment="1">
      <alignment horizontal="right" vertical="center" wrapText="1"/>
    </xf>
    <xf numFmtId="179" fontId="71" fillId="4" borderId="5" xfId="2" applyNumberFormat="1" applyFont="1" applyFill="1" applyBorder="1" applyAlignment="1">
      <alignment horizontal="right" vertical="center" wrapText="1"/>
    </xf>
    <xf numFmtId="0" fontId="58" fillId="4" borderId="5" xfId="0" applyFont="1" applyFill="1" applyBorder="1" applyAlignment="1">
      <alignment horizontal="justify" vertical="center" wrapText="1"/>
    </xf>
    <xf numFmtId="182" fontId="55" fillId="4" borderId="5" xfId="2" applyNumberFormat="1" applyFont="1" applyFill="1" applyBorder="1" applyAlignment="1">
      <alignment horizontal="right" vertical="center" wrapText="1"/>
    </xf>
    <xf numFmtId="179" fontId="47" fillId="4" borderId="5" xfId="2" applyNumberFormat="1" applyFont="1" applyFill="1" applyBorder="1" applyAlignment="1">
      <alignment horizontal="center" wrapText="1"/>
    </xf>
    <xf numFmtId="0" fontId="378" fillId="0" borderId="5" xfId="0" applyFont="1" applyBorder="1" applyAlignment="1">
      <alignment vertical="center" wrapText="1"/>
    </xf>
    <xf numFmtId="182" fontId="378" fillId="0" borderId="5" xfId="0" applyNumberFormat="1" applyFont="1" applyBorder="1" applyAlignment="1">
      <alignment horizontal="right" vertical="center" wrapText="1"/>
    </xf>
    <xf numFmtId="178" fontId="117" fillId="4" borderId="0" xfId="2" applyNumberFormat="1" applyFont="1" applyFill="1" applyBorder="1" applyAlignment="1">
      <alignment horizontal="center" vertical="center" wrapText="1"/>
    </xf>
    <xf numFmtId="182" fontId="51" fillId="4" borderId="5" xfId="2" applyNumberFormat="1" applyFont="1" applyFill="1" applyBorder="1" applyAlignment="1">
      <alignment horizontal="right" vertical="center" wrapText="1"/>
    </xf>
    <xf numFmtId="3" fontId="51" fillId="4" borderId="0" xfId="0" applyNumberFormat="1" applyFont="1" applyFill="1" applyBorder="1" applyAlignment="1">
      <alignment horizontal="center"/>
    </xf>
    <xf numFmtId="2" fontId="61" fillId="0" borderId="0" xfId="2" applyNumberFormat="1" applyFont="1" applyFill="1" applyBorder="1" applyAlignment="1">
      <alignment horizontal="left" vertical="center" wrapText="1"/>
    </xf>
    <xf numFmtId="182" fontId="61" fillId="0" borderId="0" xfId="2" applyNumberFormat="1" applyFont="1" applyFill="1" applyBorder="1" applyAlignment="1">
      <alignment vertical="center" wrapText="1"/>
    </xf>
    <xf numFmtId="0" fontId="88" fillId="4" borderId="0" xfId="0" applyFont="1" applyFill="1" applyBorder="1"/>
    <xf numFmtId="0" fontId="116" fillId="4" borderId="0" xfId="0" applyFont="1" applyFill="1" applyBorder="1"/>
    <xf numFmtId="0" fontId="46" fillId="4" borderId="0" xfId="0" applyFont="1" applyFill="1" applyBorder="1"/>
    <xf numFmtId="172" fontId="46" fillId="4" borderId="0" xfId="2" applyNumberFormat="1" applyFont="1" applyFill="1" applyBorder="1"/>
    <xf numFmtId="179" fontId="46" fillId="4" borderId="0" xfId="2" applyNumberFormat="1" applyFont="1" applyFill="1" applyBorder="1"/>
    <xf numFmtId="172" fontId="51" fillId="4" borderId="0" xfId="2" applyNumberFormat="1" applyFont="1" applyFill="1" applyBorder="1"/>
    <xf numFmtId="170" fontId="51" fillId="4" borderId="0" xfId="2" applyFont="1" applyFill="1" applyBorder="1"/>
    <xf numFmtId="0" fontId="51" fillId="4" borderId="0" xfId="0" applyFont="1" applyFill="1" applyBorder="1"/>
    <xf numFmtId="178" fontId="51" fillId="4" borderId="0" xfId="2" applyNumberFormat="1" applyFont="1" applyFill="1" applyBorder="1"/>
    <xf numFmtId="178" fontId="88" fillId="4" borderId="0" xfId="2" applyNumberFormat="1" applyFont="1" applyFill="1" applyBorder="1"/>
    <xf numFmtId="178" fontId="55" fillId="4" borderId="0" xfId="2" applyNumberFormat="1" applyFont="1" applyFill="1" applyBorder="1"/>
    <xf numFmtId="0" fontId="117" fillId="4" borderId="3" xfId="0" applyFont="1" applyFill="1" applyBorder="1" applyAlignment="1">
      <alignment horizontal="center" vertical="center" wrapText="1"/>
    </xf>
    <xf numFmtId="0" fontId="374" fillId="4" borderId="69" xfId="0" applyFont="1" applyFill="1" applyBorder="1" applyAlignment="1">
      <alignment vertical="center" wrapText="1"/>
    </xf>
    <xf numFmtId="182" fontId="151" fillId="4" borderId="69" xfId="2" applyNumberFormat="1" applyFont="1" applyFill="1" applyBorder="1" applyAlignment="1">
      <alignment horizontal="right" vertical="center" wrapText="1"/>
    </xf>
    <xf numFmtId="171" fontId="151" fillId="4" borderId="69" xfId="2" applyNumberFormat="1" applyFont="1" applyFill="1" applyBorder="1" applyAlignment="1">
      <alignment vertical="center" wrapText="1"/>
    </xf>
    <xf numFmtId="171" fontId="151" fillId="4" borderId="69" xfId="2" applyNumberFormat="1" applyFont="1" applyFill="1" applyBorder="1" applyAlignment="1">
      <alignment vertical="center"/>
    </xf>
    <xf numFmtId="186" fontId="151" fillId="4" borderId="0" xfId="0" applyNumberFormat="1" applyFont="1" applyFill="1"/>
    <xf numFmtId="186" fontId="152" fillId="4" borderId="0" xfId="0" applyNumberFormat="1" applyFont="1" applyFill="1"/>
    <xf numFmtId="0" fontId="44" fillId="4" borderId="69" xfId="41" applyFont="1" applyFill="1" applyBorder="1" applyAlignment="1">
      <alignment horizontal="left" vertical="center"/>
    </xf>
    <xf numFmtId="4" fontId="27" fillId="4" borderId="21" xfId="0" applyNumberFormat="1" applyFont="1" applyFill="1" applyBorder="1" applyAlignment="1">
      <alignment horizontal="center" vertical="center" wrapText="1"/>
    </xf>
    <xf numFmtId="4" fontId="5" fillId="4" borderId="21" xfId="0" applyNumberFormat="1" applyFont="1" applyFill="1" applyBorder="1" applyAlignment="1">
      <alignment horizontal="center" vertical="center" wrapText="1"/>
    </xf>
    <xf numFmtId="4" fontId="5" fillId="0" borderId="21" xfId="0" applyNumberFormat="1" applyFont="1" applyBorder="1" applyAlignment="1">
      <alignment horizontal="center" vertical="center" wrapText="1"/>
    </xf>
    <xf numFmtId="170" fontId="54" fillId="4" borderId="6" xfId="2" applyFont="1" applyFill="1" applyBorder="1" applyAlignment="1">
      <alignment horizontal="center" vertical="center" wrapText="1"/>
    </xf>
    <xf numFmtId="0" fontId="56" fillId="4" borderId="6" xfId="0" applyFont="1" applyFill="1" applyBorder="1" applyAlignment="1">
      <alignment horizontal="center" vertical="center" wrapText="1"/>
    </xf>
    <xf numFmtId="0" fontId="56" fillId="4" borderId="6" xfId="0" applyFont="1" applyFill="1" applyBorder="1" applyAlignment="1">
      <alignment vertical="center" wrapText="1"/>
    </xf>
    <xf numFmtId="182" fontId="39" fillId="4" borderId="6" xfId="2" applyNumberFormat="1" applyFont="1" applyFill="1" applyBorder="1" applyAlignment="1">
      <alignment horizontal="right" vertical="center" wrapText="1"/>
    </xf>
    <xf numFmtId="179" fontId="62" fillId="4" borderId="6" xfId="2" applyNumberFormat="1" applyFont="1" applyFill="1" applyBorder="1" applyAlignment="1">
      <alignment horizontal="center" vertical="center" wrapText="1"/>
    </xf>
    <xf numFmtId="0" fontId="56" fillId="5" borderId="0" xfId="0" applyFont="1" applyFill="1"/>
    <xf numFmtId="170" fontId="58" fillId="4" borderId="6" xfId="2" applyFont="1" applyFill="1" applyBorder="1" applyAlignment="1">
      <alignment horizontal="center" vertical="center" wrapText="1"/>
    </xf>
    <xf numFmtId="182" fontId="117" fillId="4" borderId="4" xfId="2" applyNumberFormat="1" applyFont="1" applyFill="1" applyBorder="1" applyAlignment="1">
      <alignment horizontal="right" vertical="center" wrapText="1"/>
    </xf>
    <xf numFmtId="171" fontId="117" fillId="4" borderId="4" xfId="2" applyNumberFormat="1" applyFont="1" applyFill="1" applyBorder="1" applyAlignment="1">
      <alignment horizontal="right" vertical="center" wrapText="1"/>
    </xf>
    <xf numFmtId="182" fontId="117" fillId="4" borderId="5" xfId="2" applyNumberFormat="1" applyFont="1" applyFill="1" applyBorder="1" applyAlignment="1">
      <alignment horizontal="right" vertical="center" wrapText="1"/>
    </xf>
    <xf numFmtId="171" fontId="117" fillId="4" borderId="5" xfId="2" applyNumberFormat="1" applyFont="1" applyFill="1" applyBorder="1" applyAlignment="1">
      <alignment horizontal="right" vertical="center" wrapText="1"/>
    </xf>
    <xf numFmtId="171" fontId="61" fillId="4" borderId="5" xfId="2" applyNumberFormat="1" applyFont="1" applyFill="1" applyBorder="1" applyAlignment="1">
      <alignment horizontal="right" vertical="center" wrapText="1"/>
    </xf>
    <xf numFmtId="182" fontId="117" fillId="4" borderId="5" xfId="2" applyNumberFormat="1" applyFont="1" applyFill="1" applyBorder="1" applyAlignment="1">
      <alignment horizontal="right" vertical="center"/>
    </xf>
    <xf numFmtId="182" fontId="117" fillId="4" borderId="6" xfId="2" applyNumberFormat="1" applyFont="1" applyFill="1" applyBorder="1" applyAlignment="1">
      <alignment horizontal="right" vertical="center" wrapText="1"/>
    </xf>
    <xf numFmtId="182" fontId="117" fillId="4" borderId="6" xfId="2" applyNumberFormat="1" applyFont="1" applyFill="1" applyBorder="1" applyAlignment="1">
      <alignment horizontal="right" vertical="center"/>
    </xf>
    <xf numFmtId="171" fontId="117" fillId="4" borderId="6" xfId="2" applyNumberFormat="1" applyFont="1" applyFill="1" applyBorder="1" applyAlignment="1">
      <alignment horizontal="right"/>
    </xf>
    <xf numFmtId="172" fontId="144" fillId="4" borderId="3" xfId="2" applyNumberFormat="1" applyFont="1" applyFill="1" applyBorder="1" applyAlignment="1">
      <alignment horizontal="center" vertical="center" wrapText="1"/>
    </xf>
    <xf numFmtId="170" fontId="144" fillId="4" borderId="3" xfId="2" applyFont="1" applyFill="1" applyBorder="1" applyAlignment="1">
      <alignment horizontal="center" vertical="center" wrapText="1"/>
    </xf>
    <xf numFmtId="171" fontId="144" fillId="4" borderId="3" xfId="2" applyNumberFormat="1" applyFont="1" applyFill="1" applyBorder="1" applyAlignment="1">
      <alignment horizontal="center" vertical="center" wrapText="1"/>
    </xf>
    <xf numFmtId="0" fontId="144" fillId="4" borderId="0" xfId="0" applyFont="1" applyFill="1"/>
    <xf numFmtId="187" fontId="61" fillId="4" borderId="0" xfId="0" applyNumberFormat="1" applyFont="1" applyFill="1" applyBorder="1"/>
    <xf numFmtId="187" fontId="61" fillId="4" borderId="0" xfId="0" applyNumberFormat="1" applyFont="1" applyFill="1"/>
    <xf numFmtId="338" fontId="61" fillId="4" borderId="0" xfId="0" applyNumberFormat="1" applyFont="1" applyFill="1"/>
    <xf numFmtId="179" fontId="117" fillId="4" borderId="5" xfId="2" applyNumberFormat="1" applyFont="1" applyFill="1" applyBorder="1" applyAlignment="1">
      <alignment horizontal="right" vertical="center" wrapText="1"/>
    </xf>
    <xf numFmtId="0" fontId="117" fillId="4" borderId="6" xfId="0" applyFont="1" applyFill="1" applyBorder="1" applyAlignment="1">
      <alignment horizontal="center" vertical="center" wrapText="1"/>
    </xf>
    <xf numFmtId="0" fontId="10" fillId="0" borderId="0" xfId="0" applyFont="1" applyAlignment="1">
      <alignment horizontal="center" vertical="center"/>
    </xf>
    <xf numFmtId="0" fontId="26" fillId="0" borderId="3"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9" xfId="0" applyFont="1" applyBorder="1" applyAlignment="1">
      <alignment horizontal="center" vertical="center" wrapText="1"/>
    </xf>
    <xf numFmtId="0" fontId="10" fillId="0" borderId="0" xfId="0" applyFont="1" applyAlignment="1">
      <alignment horizontal="center" vertical="center" wrapText="1"/>
    </xf>
    <xf numFmtId="0" fontId="7" fillId="0" borderId="0" xfId="0" applyFont="1" applyAlignment="1">
      <alignment horizontal="center" vertical="center"/>
    </xf>
    <xf numFmtId="0" fontId="26" fillId="0" borderId="0" xfId="0" applyFont="1" applyAlignment="1">
      <alignment horizontal="center" vertical="center"/>
    </xf>
    <xf numFmtId="0" fontId="26" fillId="0" borderId="8" xfId="0" applyFont="1" applyBorder="1" applyAlignment="1">
      <alignment horizontal="justify" vertical="center" wrapText="1"/>
    </xf>
    <xf numFmtId="0" fontId="26" fillId="0" borderId="9" xfId="0" applyFont="1" applyBorder="1" applyAlignment="1">
      <alignment horizontal="justify" vertical="center" wrapText="1"/>
    </xf>
    <xf numFmtId="0" fontId="26" fillId="0" borderId="11" xfId="0" applyFont="1" applyBorder="1" applyAlignment="1">
      <alignment horizontal="justify" vertical="center" wrapText="1"/>
    </xf>
    <xf numFmtId="0" fontId="26" fillId="0" borderId="3" xfId="0" applyFont="1" applyBorder="1" applyAlignment="1">
      <alignment horizontal="justify" vertical="center" wrapText="1"/>
    </xf>
    <xf numFmtId="0" fontId="131" fillId="0" borderId="0" xfId="0" applyFont="1" applyAlignment="1">
      <alignment horizontal="center" vertical="center" wrapText="1"/>
    </xf>
    <xf numFmtId="170" fontId="48" fillId="4" borderId="0" xfId="2" applyFont="1" applyFill="1" applyBorder="1" applyAlignment="1">
      <alignment horizontal="center"/>
    </xf>
    <xf numFmtId="0" fontId="48" fillId="4" borderId="0" xfId="0" applyFont="1" applyFill="1" applyAlignment="1">
      <alignment horizontal="center" vertical="center" wrapText="1"/>
    </xf>
    <xf numFmtId="0" fontId="48" fillId="4" borderId="3" xfId="0" applyFont="1" applyFill="1" applyBorder="1" applyAlignment="1">
      <alignment horizontal="center" vertical="center" wrapText="1"/>
    </xf>
    <xf numFmtId="179" fontId="48" fillId="4" borderId="3" xfId="2" applyNumberFormat="1" applyFont="1" applyFill="1" applyBorder="1" applyAlignment="1">
      <alignment horizontal="center" vertical="center" wrapText="1"/>
    </xf>
    <xf numFmtId="0" fontId="49" fillId="4" borderId="0" xfId="0" applyFont="1" applyFill="1" applyAlignment="1">
      <alignment horizontal="center" vertical="center" wrapText="1"/>
    </xf>
    <xf numFmtId="179" fontId="50" fillId="4" borderId="0" xfId="2" applyNumberFormat="1" applyFont="1" applyFill="1" applyAlignment="1">
      <alignment horizontal="center"/>
    </xf>
    <xf numFmtId="170" fontId="48" fillId="4" borderId="0" xfId="2" applyFont="1" applyFill="1" applyBorder="1" applyAlignment="1">
      <alignment horizontal="right" vertical="center"/>
    </xf>
    <xf numFmtId="0" fontId="50" fillId="4" borderId="0" xfId="0" applyFont="1" applyFill="1" applyAlignment="1">
      <alignment horizontal="center" vertical="center" wrapText="1"/>
    </xf>
    <xf numFmtId="170" fontId="3" fillId="4" borderId="0" xfId="2" applyFont="1" applyFill="1" applyBorder="1" applyAlignment="1">
      <alignment horizontal="center"/>
    </xf>
    <xf numFmtId="0" fontId="3" fillId="4" borderId="0" xfId="0" applyFont="1" applyFill="1" applyAlignment="1">
      <alignment horizontal="center" vertical="center" wrapText="1"/>
    </xf>
    <xf numFmtId="0" fontId="23" fillId="4" borderId="3" xfId="0" applyFont="1" applyFill="1" applyBorder="1" applyAlignment="1">
      <alignment horizontal="center" vertical="center" wrapText="1"/>
    </xf>
    <xf numFmtId="170" fontId="23" fillId="4" borderId="3" xfId="2" applyFont="1" applyFill="1" applyBorder="1" applyAlignment="1">
      <alignment horizontal="center" vertical="center" wrapText="1"/>
    </xf>
    <xf numFmtId="0" fontId="4" fillId="4" borderId="13" xfId="0" applyFont="1" applyFill="1" applyBorder="1" applyAlignment="1">
      <alignment horizontal="center" vertical="center"/>
    </xf>
    <xf numFmtId="0" fontId="4" fillId="4" borderId="0" xfId="0" applyFont="1" applyFill="1" applyAlignment="1">
      <alignment horizontal="center" vertical="center" wrapText="1"/>
    </xf>
    <xf numFmtId="0" fontId="4" fillId="4" borderId="15" xfId="0" applyFont="1" applyFill="1" applyBorder="1" applyAlignment="1">
      <alignment horizontal="center" vertical="center" wrapText="1"/>
    </xf>
    <xf numFmtId="0" fontId="10" fillId="4" borderId="0" xfId="0" applyFont="1" applyFill="1" applyAlignment="1">
      <alignment horizontal="center"/>
    </xf>
    <xf numFmtId="0" fontId="3" fillId="4" borderId="0" xfId="0" applyFont="1" applyFill="1" applyAlignment="1">
      <alignment horizontal="left"/>
    </xf>
    <xf numFmtId="170" fontId="3" fillId="4" borderId="0" xfId="2" applyFont="1" applyFill="1" applyBorder="1" applyAlignment="1">
      <alignment horizontal="right"/>
    </xf>
    <xf numFmtId="0" fontId="10" fillId="4" borderId="0" xfId="0" applyFont="1" applyFill="1" applyAlignment="1">
      <alignment horizontal="center" vertical="center" wrapText="1"/>
    </xf>
    <xf numFmtId="0" fontId="55" fillId="4" borderId="3" xfId="0" applyFont="1" applyFill="1" applyBorder="1" applyAlignment="1">
      <alignment horizontal="center" vertical="center" wrapText="1"/>
    </xf>
    <xf numFmtId="174" fontId="55" fillId="4" borderId="3" xfId="2" applyNumberFormat="1" applyFont="1" applyFill="1" applyBorder="1" applyAlignment="1">
      <alignment horizontal="center" vertical="center" wrapText="1"/>
    </xf>
    <xf numFmtId="179" fontId="55" fillId="4" borderId="3" xfId="2" applyNumberFormat="1" applyFont="1" applyFill="1" applyBorder="1" applyAlignment="1">
      <alignment horizontal="center" vertical="center" wrapText="1"/>
    </xf>
    <xf numFmtId="0" fontId="56" fillId="4" borderId="3" xfId="0" applyFont="1" applyFill="1" applyBorder="1" applyAlignment="1">
      <alignment horizontal="center" vertical="center" wrapText="1"/>
    </xf>
    <xf numFmtId="0" fontId="82" fillId="4" borderId="0" xfId="0" applyFont="1" applyFill="1" applyAlignment="1">
      <alignment horizontal="center" vertical="center" wrapText="1"/>
    </xf>
    <xf numFmtId="170" fontId="56" fillId="4" borderId="3" xfId="2" applyFont="1" applyFill="1" applyBorder="1" applyAlignment="1">
      <alignment horizontal="center" vertical="center" wrapText="1"/>
    </xf>
    <xf numFmtId="0" fontId="56" fillId="4" borderId="14" xfId="0" applyFont="1" applyFill="1" applyBorder="1" applyAlignment="1">
      <alignment horizontal="center" vertical="center" wrapText="1"/>
    </xf>
    <xf numFmtId="0" fontId="56" fillId="4" borderId="2" xfId="0" applyFont="1" applyFill="1" applyBorder="1" applyAlignment="1">
      <alignment horizontal="center" vertical="center" wrapText="1"/>
    </xf>
    <xf numFmtId="179" fontId="52" fillId="4" borderId="0" xfId="2" applyNumberFormat="1" applyFont="1" applyFill="1" applyAlignment="1">
      <alignment horizontal="center"/>
    </xf>
    <xf numFmtId="179" fontId="4" fillId="4" borderId="0" xfId="2" applyNumberFormat="1" applyFont="1" applyFill="1" applyAlignment="1">
      <alignment horizontal="right" vertical="center"/>
    </xf>
    <xf numFmtId="179" fontId="151" fillId="4" borderId="8" xfId="2" applyNumberFormat="1" applyFont="1" applyFill="1" applyBorder="1" applyAlignment="1">
      <alignment horizontal="center" vertical="center" wrapText="1"/>
    </xf>
    <xf numFmtId="179" fontId="151" fillId="4" borderId="11" xfId="2" applyNumberFormat="1" applyFont="1" applyFill="1" applyBorder="1" applyAlignment="1">
      <alignment horizontal="center" vertical="center" wrapText="1"/>
    </xf>
    <xf numFmtId="179" fontId="151" fillId="4" borderId="16" xfId="2" applyNumberFormat="1" applyFont="1" applyFill="1" applyBorder="1" applyAlignment="1">
      <alignment horizontal="center" vertical="center" wrapText="1"/>
    </xf>
    <xf numFmtId="179" fontId="151" fillId="4" borderId="15" xfId="2" applyNumberFormat="1" applyFont="1" applyFill="1" applyBorder="1" applyAlignment="1">
      <alignment horizontal="center" vertical="center" wrapText="1"/>
    </xf>
    <xf numFmtId="179" fontId="151" fillId="4" borderId="17" xfId="2" applyNumberFormat="1" applyFont="1" applyFill="1" applyBorder="1" applyAlignment="1">
      <alignment horizontal="center" vertical="center" wrapText="1"/>
    </xf>
    <xf numFmtId="179" fontId="151" fillId="4" borderId="3" xfId="2" applyNumberFormat="1" applyFont="1" applyFill="1" applyBorder="1" applyAlignment="1">
      <alignment horizontal="center" vertical="center" wrapText="1"/>
    </xf>
    <xf numFmtId="177" fontId="51" fillId="4" borderId="0" xfId="2" applyNumberFormat="1" applyFont="1" applyFill="1" applyAlignment="1">
      <alignment horizontal="center"/>
    </xf>
    <xf numFmtId="0" fontId="152" fillId="4" borderId="3" xfId="0" applyFont="1" applyFill="1" applyBorder="1" applyAlignment="1">
      <alignment horizontal="center" vertical="center" wrapText="1"/>
    </xf>
    <xf numFmtId="179" fontId="152" fillId="4" borderId="3" xfId="2" applyNumberFormat="1" applyFont="1" applyFill="1" applyBorder="1" applyAlignment="1">
      <alignment horizontal="center" vertical="center" wrapText="1"/>
    </xf>
    <xf numFmtId="179" fontId="158" fillId="4" borderId="3" xfId="2" applyNumberFormat="1" applyFont="1" applyFill="1" applyBorder="1" applyAlignment="1">
      <alignment horizontal="center" vertical="center" wrapText="1"/>
    </xf>
    <xf numFmtId="179" fontId="160" fillId="4" borderId="3" xfId="2" applyNumberFormat="1" applyFont="1" applyFill="1" applyBorder="1" applyAlignment="1">
      <alignment horizontal="center" vertical="center" wrapText="1"/>
    </xf>
    <xf numFmtId="171" fontId="151" fillId="4" borderId="3" xfId="2" applyNumberFormat="1" applyFont="1" applyFill="1" applyBorder="1" applyAlignment="1">
      <alignment horizontal="center" vertical="center" wrapText="1"/>
    </xf>
    <xf numFmtId="0" fontId="55" fillId="4" borderId="67" xfId="0" applyFont="1" applyFill="1" applyBorder="1" applyAlignment="1">
      <alignment horizontal="center" vertical="center" wrapText="1"/>
    </xf>
    <xf numFmtId="178" fontId="55" fillId="4" borderId="67" xfId="2" applyNumberFormat="1" applyFont="1" applyFill="1" applyBorder="1" applyAlignment="1">
      <alignment horizontal="center" vertical="center" wrapText="1"/>
    </xf>
    <xf numFmtId="0" fontId="4" fillId="4" borderId="0" xfId="0" applyFont="1" applyFill="1" applyAlignment="1">
      <alignment horizontal="center" vertical="center"/>
    </xf>
    <xf numFmtId="0" fontId="3" fillId="4" borderId="0" xfId="0" applyFont="1" applyFill="1" applyAlignment="1">
      <alignment horizontal="center" vertical="center"/>
    </xf>
    <xf numFmtId="0" fontId="60" fillId="4" borderId="0" xfId="0" applyFont="1" applyFill="1" applyAlignment="1">
      <alignment horizontal="center"/>
    </xf>
    <xf numFmtId="0" fontId="48" fillId="4" borderId="0" xfId="0" applyFont="1" applyFill="1" applyAlignment="1">
      <alignment horizontal="left" vertical="center"/>
    </xf>
    <xf numFmtId="0" fontId="117" fillId="4" borderId="3" xfId="0" applyFont="1" applyFill="1" applyBorder="1" applyAlignment="1">
      <alignment horizontal="center" vertical="center" wrapText="1"/>
    </xf>
    <xf numFmtId="0" fontId="48" fillId="4" borderId="0" xfId="0" applyFont="1" applyFill="1" applyAlignment="1">
      <alignment horizontal="center" vertical="center"/>
    </xf>
    <xf numFmtId="179" fontId="117" fillId="4" borderId="3" xfId="2" applyNumberFormat="1" applyFont="1" applyFill="1" applyBorder="1" applyAlignment="1">
      <alignment horizontal="center" vertical="center" wrapText="1"/>
    </xf>
    <xf numFmtId="172" fontId="117" fillId="4" borderId="3" xfId="2" applyNumberFormat="1" applyFont="1" applyFill="1" applyBorder="1" applyAlignment="1">
      <alignment horizontal="center" vertical="center" wrapText="1"/>
    </xf>
    <xf numFmtId="170" fontId="117" fillId="4" borderId="3" xfId="2" applyFont="1" applyFill="1" applyBorder="1" applyAlignment="1">
      <alignment horizontal="center" vertical="center" wrapText="1"/>
    </xf>
    <xf numFmtId="171" fontId="124" fillId="4" borderId="13" xfId="2" applyNumberFormat="1" applyFont="1" applyFill="1" applyBorder="1" applyAlignment="1">
      <alignment horizontal="right" vertical="center"/>
    </xf>
    <xf numFmtId="0" fontId="49" fillId="4" borderId="0" xfId="0" applyFont="1" applyFill="1" applyAlignment="1">
      <alignment horizontal="center" vertical="center"/>
    </xf>
    <xf numFmtId="0" fontId="50" fillId="4" borderId="0" xfId="0" applyFont="1" applyFill="1" applyAlignment="1">
      <alignment horizontal="center"/>
    </xf>
    <xf numFmtId="171" fontId="117" fillId="4" borderId="3" xfId="2" applyNumberFormat="1" applyFont="1" applyFill="1" applyBorder="1" applyAlignment="1">
      <alignment horizontal="center" vertical="center" wrapText="1"/>
    </xf>
    <xf numFmtId="170" fontId="48" fillId="4" borderId="0" xfId="2" applyFont="1" applyFill="1" applyBorder="1" applyAlignment="1">
      <alignment horizontal="center" vertical="center" wrapText="1"/>
    </xf>
    <xf numFmtId="0" fontId="48" fillId="0" borderId="3" xfId="0" applyFont="1" applyBorder="1" applyAlignment="1">
      <alignment horizontal="center" vertical="center" wrapText="1"/>
    </xf>
    <xf numFmtId="0" fontId="49" fillId="4" borderId="13" xfId="0" applyFont="1" applyFill="1" applyBorder="1" applyAlignment="1">
      <alignment horizontal="center" vertical="center" wrapText="1"/>
    </xf>
    <xf numFmtId="186" fontId="46" fillId="4" borderId="0" xfId="0" applyNumberFormat="1" applyFont="1" applyFill="1" applyAlignment="1">
      <alignment horizontal="center"/>
    </xf>
    <xf numFmtId="172" fontId="88" fillId="4" borderId="13" xfId="2" applyNumberFormat="1" applyFont="1" applyFill="1" applyBorder="1" applyAlignment="1">
      <alignment horizontal="left"/>
    </xf>
    <xf numFmtId="188" fontId="46" fillId="4" borderId="13" xfId="0" applyNumberFormat="1" applyFont="1" applyFill="1" applyBorder="1" applyAlignment="1">
      <alignment horizontal="center"/>
    </xf>
    <xf numFmtId="179" fontId="46" fillId="4" borderId="13" xfId="2" applyNumberFormat="1" applyFont="1" applyFill="1" applyBorder="1" applyAlignment="1">
      <alignment horizontal="center"/>
    </xf>
    <xf numFmtId="0" fontId="117" fillId="0" borderId="3" xfId="0" applyFont="1" applyBorder="1" applyAlignment="1">
      <alignment horizontal="center" vertical="center" wrapText="1"/>
    </xf>
    <xf numFmtId="172" fontId="117" fillId="0" borderId="3" xfId="2" applyNumberFormat="1" applyFont="1" applyFill="1" applyBorder="1" applyAlignment="1">
      <alignment horizontal="center" vertical="center" wrapText="1"/>
    </xf>
    <xf numFmtId="2" fontId="117" fillId="0" borderId="8" xfId="0" applyNumberFormat="1" applyFont="1" applyBorder="1" applyAlignment="1">
      <alignment horizontal="center" vertical="center" wrapText="1"/>
    </xf>
    <xf numFmtId="2" fontId="117" fillId="0" borderId="11" xfId="0" applyNumberFormat="1" applyFont="1" applyBorder="1" applyAlignment="1">
      <alignment horizontal="center" vertical="center" wrapText="1"/>
    </xf>
    <xf numFmtId="179" fontId="117" fillId="0" borderId="3" xfId="2" applyNumberFormat="1" applyFont="1" applyFill="1" applyBorder="1" applyAlignment="1">
      <alignment horizontal="center" vertical="center" wrapText="1"/>
    </xf>
    <xf numFmtId="0" fontId="117" fillId="0" borderId="14" xfId="0" applyFont="1" applyBorder="1" applyAlignment="1">
      <alignment horizontal="center" vertical="center" wrapText="1"/>
    </xf>
    <xf numFmtId="0" fontId="117" fillId="0" borderId="2" xfId="0" applyFont="1" applyBorder="1" applyAlignment="1">
      <alignment horizontal="center" vertical="center" wrapText="1"/>
    </xf>
    <xf numFmtId="0" fontId="117" fillId="0" borderId="12" xfId="0" applyFont="1" applyBorder="1" applyAlignment="1">
      <alignment horizontal="center" vertical="center" wrapText="1"/>
    </xf>
    <xf numFmtId="0" fontId="78" fillId="4" borderId="0" xfId="0" applyFont="1" applyFill="1" applyAlignment="1">
      <alignment horizontal="left"/>
    </xf>
    <xf numFmtId="0" fontId="10" fillId="4" borderId="0" xfId="0" applyFont="1" applyFill="1" applyAlignment="1">
      <alignment horizontal="center" wrapText="1"/>
    </xf>
    <xf numFmtId="170" fontId="117" fillId="0" borderId="3" xfId="2" applyFont="1" applyFill="1" applyBorder="1" applyAlignment="1">
      <alignment horizontal="center" vertical="center" wrapText="1"/>
    </xf>
    <xf numFmtId="3" fontId="117" fillId="0" borderId="3" xfId="0" applyNumberFormat="1" applyFont="1" applyBorder="1" applyAlignment="1">
      <alignment horizontal="center" vertical="center" wrapText="1"/>
    </xf>
    <xf numFmtId="0" fontId="367" fillId="0" borderId="21" xfId="46" applyFont="1" applyBorder="1" applyAlignment="1">
      <alignment horizontal="center" vertical="center" wrapText="1"/>
    </xf>
    <xf numFmtId="0" fontId="163" fillId="0" borderId="0" xfId="46" applyFont="1" applyAlignment="1">
      <alignment horizontal="center" vertical="center"/>
    </xf>
    <xf numFmtId="0" fontId="123" fillId="0" borderId="13" xfId="46" applyFont="1" applyBorder="1" applyAlignment="1">
      <alignment horizontal="right" vertical="center"/>
    </xf>
    <xf numFmtId="172" fontId="3" fillId="4" borderId="0" xfId="2"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172" fontId="3" fillId="4" borderId="3" xfId="2" applyNumberFormat="1" applyFont="1" applyFill="1" applyBorder="1" applyAlignment="1">
      <alignment horizontal="center" vertical="center" wrapText="1"/>
    </xf>
    <xf numFmtId="172" fontId="4" fillId="4" borderId="13" xfId="2" applyNumberFormat="1" applyFont="1" applyFill="1" applyBorder="1" applyAlignment="1">
      <alignment horizontal="center" vertical="center" wrapText="1"/>
    </xf>
    <xf numFmtId="179" fontId="110" fillId="4" borderId="14" xfId="2" applyNumberFormat="1" applyFont="1" applyFill="1" applyBorder="1" applyAlignment="1">
      <alignment horizontal="center" vertical="center" wrapText="1"/>
    </xf>
    <xf numFmtId="179" fontId="110" fillId="4" borderId="12" xfId="2" applyNumberFormat="1" applyFont="1" applyFill="1" applyBorder="1" applyAlignment="1">
      <alignment horizontal="center" vertical="center" wrapText="1"/>
    </xf>
    <xf numFmtId="172" fontId="110" fillId="4" borderId="8" xfId="2" applyNumberFormat="1" applyFont="1" applyFill="1" applyBorder="1" applyAlignment="1">
      <alignment horizontal="center" vertical="center" wrapText="1"/>
    </xf>
    <xf numFmtId="172" fontId="110" fillId="4" borderId="11" xfId="2" applyNumberFormat="1" applyFont="1" applyFill="1" applyBorder="1" applyAlignment="1">
      <alignment horizontal="center" vertical="center" wrapText="1"/>
    </xf>
    <xf numFmtId="179" fontId="110" fillId="4" borderId="8" xfId="2" applyNumberFormat="1" applyFont="1" applyFill="1" applyBorder="1" applyAlignment="1">
      <alignment horizontal="center" vertical="center" wrapText="1"/>
    </xf>
    <xf numFmtId="179" fontId="110" fillId="4" borderId="11" xfId="2" applyNumberFormat="1" applyFont="1" applyFill="1" applyBorder="1" applyAlignment="1">
      <alignment horizontal="center" vertical="center" wrapText="1"/>
    </xf>
    <xf numFmtId="179" fontId="110" fillId="4" borderId="2" xfId="2" applyNumberFormat="1" applyFont="1" applyFill="1" applyBorder="1" applyAlignment="1">
      <alignment horizontal="center" vertical="center" wrapText="1"/>
    </xf>
    <xf numFmtId="179" fontId="110" fillId="4" borderId="3" xfId="2" applyNumberFormat="1" applyFont="1" applyFill="1" applyBorder="1" applyAlignment="1">
      <alignment horizontal="center" vertical="center" wrapText="1"/>
    </xf>
    <xf numFmtId="0" fontId="110" fillId="4" borderId="3" xfId="0" applyFont="1" applyFill="1" applyBorder="1" applyAlignment="1">
      <alignment horizontal="center" vertical="center" wrapText="1"/>
    </xf>
    <xf numFmtId="179" fontId="44" fillId="4" borderId="0" xfId="2" applyNumberFormat="1" applyFont="1" applyFill="1" applyAlignment="1">
      <alignment horizontal="center"/>
    </xf>
    <xf numFmtId="170" fontId="47" fillId="4" borderId="0" xfId="2" applyFont="1" applyFill="1" applyBorder="1" applyAlignment="1">
      <alignment horizontal="center"/>
    </xf>
    <xf numFmtId="0" fontId="46" fillId="4" borderId="0" xfId="0" applyFont="1" applyFill="1" applyAlignment="1">
      <alignment horizontal="center" vertical="center" wrapText="1"/>
    </xf>
    <xf numFmtId="3" fontId="47" fillId="4" borderId="0" xfId="0" applyNumberFormat="1" applyFont="1" applyFill="1" applyAlignment="1">
      <alignment horizontal="left"/>
    </xf>
    <xf numFmtId="172" fontId="144" fillId="4" borderId="13" xfId="0" applyNumberFormat="1" applyFont="1" applyFill="1" applyBorder="1" applyAlignment="1">
      <alignment horizontal="center" vertical="center"/>
    </xf>
    <xf numFmtId="0" fontId="144" fillId="4" borderId="13" xfId="0" applyFont="1" applyFill="1" applyBorder="1" applyAlignment="1">
      <alignment horizontal="center" vertical="center"/>
    </xf>
    <xf numFmtId="172" fontId="61" fillId="4" borderId="13" xfId="2" applyNumberFormat="1" applyFont="1" applyFill="1" applyBorder="1" applyAlignment="1">
      <alignment horizontal="center"/>
    </xf>
    <xf numFmtId="172" fontId="46" fillId="4" borderId="13" xfId="2" applyNumberFormat="1" applyFont="1" applyFill="1" applyBorder="1" applyAlignment="1">
      <alignment horizontal="center"/>
    </xf>
    <xf numFmtId="172" fontId="110" fillId="4" borderId="3" xfId="2" applyNumberFormat="1" applyFont="1" applyFill="1" applyBorder="1" applyAlignment="1">
      <alignment horizontal="center" vertical="center" wrapText="1"/>
    </xf>
    <xf numFmtId="0" fontId="95" fillId="4" borderId="15" xfId="0" applyFont="1" applyFill="1" applyBorder="1" applyAlignment="1">
      <alignment horizontal="left" vertical="center" wrapText="1"/>
    </xf>
    <xf numFmtId="170" fontId="110" fillId="4" borderId="3" xfId="2" applyFont="1" applyFill="1" applyBorder="1" applyAlignment="1">
      <alignment horizontal="center" vertical="center" wrapText="1"/>
    </xf>
    <xf numFmtId="179" fontId="110" fillId="4" borderId="16" xfId="2" applyNumberFormat="1" applyFont="1" applyFill="1" applyBorder="1" applyAlignment="1">
      <alignment horizontal="center" vertical="center" wrapText="1"/>
    </xf>
    <xf numFmtId="179" fontId="110" fillId="4" borderId="20" xfId="2" applyNumberFormat="1" applyFont="1" applyFill="1" applyBorder="1" applyAlignment="1">
      <alignment horizontal="center" vertical="center" wrapText="1"/>
    </xf>
    <xf numFmtId="3" fontId="110" fillId="4" borderId="3" xfId="0" applyNumberFormat="1" applyFont="1" applyFill="1" applyBorder="1" applyAlignment="1">
      <alignment horizontal="center" vertical="center" wrapText="1"/>
    </xf>
    <xf numFmtId="172" fontId="49" fillId="4" borderId="0" xfId="2" applyNumberFormat="1" applyFont="1" applyFill="1" applyBorder="1" applyAlignment="1">
      <alignment horizontal="center" vertical="center" wrapText="1"/>
    </xf>
    <xf numFmtId="172" fontId="85" fillId="4" borderId="0" xfId="2" applyNumberFormat="1" applyFont="1" applyFill="1" applyAlignment="1">
      <alignment horizontal="center" vertical="center" wrapText="1"/>
    </xf>
    <xf numFmtId="172" fontId="112" fillId="4" borderId="0" xfId="2" applyNumberFormat="1" applyFont="1" applyFill="1" applyAlignment="1">
      <alignment horizontal="center" vertical="center" wrapText="1"/>
    </xf>
    <xf numFmtId="0" fontId="56" fillId="4" borderId="0" xfId="0" applyFont="1" applyFill="1" applyAlignment="1">
      <alignment horizontal="center" vertical="center" wrapText="1"/>
    </xf>
    <xf numFmtId="0" fontId="58" fillId="4" borderId="13" xfId="0" applyFont="1" applyFill="1" applyBorder="1" applyAlignment="1">
      <alignment horizontal="center" vertical="center" wrapText="1"/>
    </xf>
    <xf numFmtId="0" fontId="39" fillId="4" borderId="21" xfId="0" applyFont="1" applyFill="1" applyBorder="1" applyAlignment="1">
      <alignment horizontal="center" vertical="center" wrapText="1"/>
    </xf>
    <xf numFmtId="0" fontId="56" fillId="4" borderId="21" xfId="0" applyFont="1" applyFill="1" applyBorder="1" applyAlignment="1">
      <alignment horizontal="center" vertical="center" wrapText="1"/>
    </xf>
    <xf numFmtId="0" fontId="39" fillId="4" borderId="22" xfId="0" applyFont="1" applyFill="1" applyBorder="1" applyAlignment="1">
      <alignment horizontal="center" vertical="center" wrapText="1"/>
    </xf>
    <xf numFmtId="0" fontId="39" fillId="4" borderId="23" xfId="0" applyFont="1" applyFill="1" applyBorder="1" applyAlignment="1">
      <alignment horizontal="center" vertical="center" wrapText="1"/>
    </xf>
    <xf numFmtId="0" fontId="39" fillId="4" borderId="24" xfId="0" applyFont="1" applyFill="1" applyBorder="1" applyAlignment="1">
      <alignment horizontal="center" vertical="center" wrapText="1"/>
    </xf>
    <xf numFmtId="0" fontId="58" fillId="4" borderId="0" xfId="0" applyFont="1" applyFill="1" applyAlignment="1">
      <alignment horizontal="center" vertical="center" wrapText="1"/>
    </xf>
    <xf numFmtId="179" fontId="39" fillId="4" borderId="13" xfId="0" applyNumberFormat="1" applyFont="1" applyFill="1" applyBorder="1" applyAlignment="1">
      <alignment horizontal="center" vertical="center" wrapText="1"/>
    </xf>
    <xf numFmtId="180" fontId="39" fillId="4" borderId="13" xfId="0" applyNumberFormat="1" applyFont="1" applyFill="1" applyBorder="1" applyAlignment="1">
      <alignment horizontal="center" vertical="center" wrapText="1"/>
    </xf>
    <xf numFmtId="0" fontId="56" fillId="4" borderId="26" xfId="0" applyFont="1" applyFill="1" applyBorder="1" applyAlignment="1">
      <alignment horizontal="center" vertical="center" wrapText="1"/>
    </xf>
    <xf numFmtId="0" fontId="56" fillId="4" borderId="27" xfId="0" applyFont="1" applyFill="1" applyBorder="1" applyAlignment="1">
      <alignment horizontal="center" vertical="center" wrapText="1"/>
    </xf>
    <xf numFmtId="0" fontId="56" fillId="4" borderId="20" xfId="0" applyFont="1" applyFill="1" applyBorder="1" applyAlignment="1">
      <alignment horizontal="center" vertical="center" wrapText="1"/>
    </xf>
    <xf numFmtId="0" fontId="56" fillId="4" borderId="13" xfId="0" applyFont="1" applyFill="1" applyBorder="1" applyAlignment="1">
      <alignment horizontal="center" vertical="center" wrapText="1"/>
    </xf>
    <xf numFmtId="3" fontId="3" fillId="0" borderId="0" xfId="0" applyNumberFormat="1" applyFont="1" applyAlignment="1">
      <alignment horizontal="left" vertical="center" wrapText="1"/>
    </xf>
    <xf numFmtId="170" fontId="4" fillId="0" borderId="0" xfId="2" applyFont="1" applyFill="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172" fontId="49" fillId="4" borderId="0" xfId="2" applyNumberFormat="1" applyFont="1" applyFill="1" applyAlignment="1">
      <alignment horizontal="center" vertical="center" wrapText="1"/>
    </xf>
    <xf numFmtId="172" fontId="50" fillId="4" borderId="0" xfId="2" applyNumberFormat="1" applyFont="1" applyFill="1" applyAlignment="1">
      <alignment horizontal="center" vertical="center" wrapText="1"/>
    </xf>
    <xf numFmtId="3" fontId="168" fillId="0" borderId="0" xfId="0" applyNumberFormat="1" applyFont="1" applyAlignment="1">
      <alignment horizontal="justify" wrapText="1"/>
    </xf>
    <xf numFmtId="0" fontId="168" fillId="0" borderId="0" xfId="0" applyFont="1" applyAlignment="1">
      <alignment horizontal="justify" wrapText="1"/>
    </xf>
    <xf numFmtId="170" fontId="90" fillId="3" borderId="0" xfId="2" applyFont="1" applyFill="1" applyBorder="1" applyAlignment="1">
      <alignment horizontal="right"/>
    </xf>
    <xf numFmtId="0" fontId="169" fillId="0" borderId="0" xfId="0" applyFont="1" applyAlignment="1">
      <alignment horizontal="center"/>
    </xf>
    <xf numFmtId="0" fontId="169" fillId="0" borderId="0" xfId="0" applyFont="1" applyAlignment="1">
      <alignment horizontal="center" vertical="center"/>
    </xf>
    <xf numFmtId="0" fontId="93" fillId="0" borderId="0" xfId="0" applyFont="1" applyAlignment="1">
      <alignment horizontal="center" wrapText="1"/>
    </xf>
    <xf numFmtId="0" fontId="49" fillId="0" borderId="0" xfId="0" applyFont="1" applyAlignment="1">
      <alignment horizontal="center" vertical="center"/>
    </xf>
    <xf numFmtId="0" fontId="10" fillId="0" borderId="0" xfId="0" applyFont="1" applyAlignment="1">
      <alignment horizontal="center"/>
    </xf>
    <xf numFmtId="0" fontId="37" fillId="4" borderId="25" xfId="0" applyFont="1" applyFill="1" applyBorder="1" applyAlignment="1">
      <alignment horizontal="center" vertical="center" wrapText="1"/>
    </xf>
    <xf numFmtId="0" fontId="37" fillId="4" borderId="9" xfId="0" applyFont="1" applyFill="1" applyBorder="1" applyAlignment="1">
      <alignment horizontal="center" vertical="center" wrapText="1"/>
    </xf>
    <xf numFmtId="0" fontId="37" fillId="4" borderId="11"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11" xfId="0" applyFont="1" applyFill="1" applyBorder="1" applyAlignment="1">
      <alignment horizontal="center" vertical="center" wrapText="1"/>
    </xf>
    <xf numFmtId="3" fontId="3" fillId="0" borderId="0" xfId="0" applyNumberFormat="1" applyFont="1" applyAlignment="1">
      <alignment horizontal="center" vertical="center"/>
    </xf>
    <xf numFmtId="0" fontId="3" fillId="0" borderId="0" xfId="0" applyFont="1" applyAlignment="1">
      <alignment horizontal="center" vertical="center"/>
    </xf>
    <xf numFmtId="0" fontId="37" fillId="4" borderId="21" xfId="0" applyFont="1" applyFill="1" applyBorder="1" applyAlignment="1">
      <alignment horizontal="center" vertical="center" wrapText="1"/>
    </xf>
    <xf numFmtId="0" fontId="82" fillId="0" borderId="0" xfId="0" applyFont="1" applyAlignment="1">
      <alignment horizontal="center"/>
    </xf>
    <xf numFmtId="0" fontId="142" fillId="4" borderId="3" xfId="0" applyFont="1" applyFill="1" applyBorder="1" applyAlignment="1">
      <alignment horizontal="center" vertical="center" wrapText="1"/>
    </xf>
    <xf numFmtId="0" fontId="117" fillId="4" borderId="8" xfId="0" applyFont="1" applyFill="1" applyBorder="1" applyAlignment="1">
      <alignment horizontal="center" vertical="center" wrapText="1"/>
    </xf>
    <xf numFmtId="0" fontId="117" fillId="4" borderId="9" xfId="0" applyFont="1" applyFill="1" applyBorder="1" applyAlignment="1">
      <alignment horizontal="center" vertical="center" wrapText="1"/>
    </xf>
    <xf numFmtId="0" fontId="117" fillId="4" borderId="11" xfId="0" applyFont="1" applyFill="1" applyBorder="1" applyAlignment="1">
      <alignment horizontal="center" vertical="center" wrapText="1"/>
    </xf>
    <xf numFmtId="0" fontId="142" fillId="4" borderId="14" xfId="0" applyFont="1" applyFill="1" applyBorder="1" applyAlignment="1">
      <alignment horizontal="center" vertical="center" wrapText="1"/>
    </xf>
    <xf numFmtId="0" fontId="142" fillId="4" borderId="2" xfId="0" applyFont="1" applyFill="1" applyBorder="1" applyAlignment="1">
      <alignment horizontal="center" vertical="center" wrapText="1"/>
    </xf>
    <xf numFmtId="0" fontId="142" fillId="4" borderId="23" xfId="0" applyFont="1" applyFill="1" applyBorder="1" applyAlignment="1">
      <alignment horizontal="center" vertical="center" wrapText="1"/>
    </xf>
    <xf numFmtId="0" fontId="142" fillId="4" borderId="12" xfId="0" applyFont="1" applyFill="1" applyBorder="1" applyAlignment="1">
      <alignment horizontal="center" vertical="center" wrapText="1"/>
    </xf>
    <xf numFmtId="0" fontId="110" fillId="4" borderId="25" xfId="0" applyFont="1" applyFill="1" applyBorder="1" applyAlignment="1">
      <alignment horizontal="center" vertical="center" wrapText="1"/>
    </xf>
    <xf numFmtId="0" fontId="110" fillId="4" borderId="9" xfId="0" applyFont="1" applyFill="1" applyBorder="1" applyAlignment="1">
      <alignment horizontal="center" vertical="center" wrapText="1"/>
    </xf>
    <xf numFmtId="0" fontId="110" fillId="4" borderId="11" xfId="0" applyFont="1" applyFill="1" applyBorder="1" applyAlignment="1">
      <alignment horizontal="center" vertical="center" wrapText="1"/>
    </xf>
    <xf numFmtId="0" fontId="144" fillId="4" borderId="0" xfId="0" applyFont="1" applyFill="1" applyAlignment="1">
      <alignment horizontal="right"/>
    </xf>
    <xf numFmtId="175" fontId="143" fillId="4" borderId="0" xfId="0" applyNumberFormat="1" applyFont="1" applyFill="1"/>
    <xf numFmtId="175" fontId="110" fillId="4" borderId="3" xfId="2" applyNumberFormat="1" applyFont="1" applyFill="1" applyBorder="1" applyAlignment="1">
      <alignment horizontal="center" vertical="center" wrapText="1"/>
    </xf>
    <xf numFmtId="0" fontId="142" fillId="4" borderId="8" xfId="0" applyFont="1" applyFill="1" applyBorder="1" applyAlignment="1">
      <alignment horizontal="center" vertical="center" wrapText="1"/>
    </xf>
    <xf numFmtId="0" fontId="142" fillId="4" borderId="9" xfId="0" applyFont="1" applyFill="1" applyBorder="1" applyAlignment="1">
      <alignment horizontal="center" vertical="center" wrapText="1"/>
    </xf>
    <xf numFmtId="0" fontId="142" fillId="4" borderId="11" xfId="0" applyFont="1" applyFill="1" applyBorder="1" applyAlignment="1">
      <alignment horizontal="center" vertical="center" wrapText="1"/>
    </xf>
    <xf numFmtId="0" fontId="60" fillId="4" borderId="3" xfId="0" applyFont="1" applyFill="1" applyBorder="1" applyAlignment="1">
      <alignment horizontal="center" vertical="center" wrapText="1"/>
    </xf>
    <xf numFmtId="0" fontId="47" fillId="4" borderId="3" xfId="0" applyFont="1" applyFill="1" applyBorder="1" applyAlignment="1">
      <alignment horizontal="center" vertical="center" wrapText="1"/>
    </xf>
    <xf numFmtId="0" fontId="61" fillId="4" borderId="0" xfId="0" applyFont="1" applyFill="1" applyAlignment="1">
      <alignment horizontal="right"/>
    </xf>
    <xf numFmtId="175" fontId="23" fillId="4" borderId="3" xfId="2" applyNumberFormat="1" applyFont="1" applyFill="1" applyBorder="1" applyAlignment="1">
      <alignment horizontal="center" vertical="center" wrapText="1"/>
    </xf>
    <xf numFmtId="175" fontId="23" fillId="4" borderId="17" xfId="2" applyNumberFormat="1" applyFont="1" applyFill="1" applyBorder="1" applyAlignment="1">
      <alignment horizontal="center" vertical="center" wrapText="1"/>
    </xf>
    <xf numFmtId="0" fontId="23" fillId="4" borderId="19" xfId="0" applyFont="1" applyFill="1" applyBorder="1" applyAlignment="1">
      <alignment horizontal="center" vertical="center" wrapText="1"/>
    </xf>
    <xf numFmtId="0" fontId="74" fillId="4" borderId="0" xfId="0" applyFont="1" applyFill="1" applyAlignment="1">
      <alignment horizontal="center"/>
    </xf>
    <xf numFmtId="0" fontId="66" fillId="4" borderId="0" xfId="0" applyFont="1" applyFill="1" applyAlignment="1">
      <alignment horizontal="center"/>
    </xf>
    <xf numFmtId="0" fontId="23" fillId="4" borderId="8" xfId="0" applyFont="1" applyFill="1" applyBorder="1" applyAlignment="1">
      <alignment horizontal="center" vertical="center" wrapText="1"/>
    </xf>
    <xf numFmtId="0" fontId="54" fillId="4" borderId="11" xfId="0" applyFont="1" applyFill="1" applyBorder="1" applyAlignment="1">
      <alignment horizontal="center" vertical="center" wrapText="1"/>
    </xf>
    <xf numFmtId="0" fontId="23" fillId="4" borderId="11" xfId="0" applyFont="1" applyFill="1" applyBorder="1" applyAlignment="1">
      <alignment horizontal="center" vertical="center" wrapText="1"/>
    </xf>
    <xf numFmtId="172" fontId="23" fillId="4" borderId="8" xfId="2" applyNumberFormat="1" applyFont="1" applyFill="1" applyBorder="1" applyAlignment="1">
      <alignment horizontal="center" vertical="center" wrapText="1"/>
    </xf>
    <xf numFmtId="172" fontId="23" fillId="4" borderId="11" xfId="2" applyNumberFormat="1" applyFont="1" applyFill="1" applyBorder="1" applyAlignment="1">
      <alignment horizontal="center" vertical="center" wrapText="1"/>
    </xf>
    <xf numFmtId="175" fontId="23" fillId="4" borderId="8" xfId="2" applyNumberFormat="1" applyFont="1" applyFill="1" applyBorder="1" applyAlignment="1">
      <alignment horizontal="center" vertical="center" wrapText="1"/>
    </xf>
    <xf numFmtId="175" fontId="23" fillId="4" borderId="11" xfId="2" applyNumberFormat="1" applyFont="1" applyFill="1" applyBorder="1" applyAlignment="1">
      <alignment horizontal="center" vertical="center" wrapText="1"/>
    </xf>
    <xf numFmtId="178" fontId="60" fillId="4" borderId="3" xfId="2" applyNumberFormat="1" applyFont="1" applyFill="1" applyBorder="1" applyAlignment="1">
      <alignment horizontal="center" vertical="center" wrapText="1"/>
    </xf>
    <xf numFmtId="0" fontId="35" fillId="0" borderId="0" xfId="0" applyFont="1" applyAlignment="1">
      <alignment horizontal="center" vertical="center" wrapText="1"/>
    </xf>
    <xf numFmtId="0" fontId="84" fillId="0" borderId="21" xfId="0" applyFont="1" applyBorder="1" applyAlignment="1">
      <alignment horizontal="center" vertical="center" wrapText="1"/>
    </xf>
    <xf numFmtId="0" fontId="23" fillId="0" borderId="0" xfId="0" applyFont="1" applyAlignment="1">
      <alignment horizontal="center" vertical="center"/>
    </xf>
    <xf numFmtId="0" fontId="17" fillId="0" borderId="13" xfId="37" applyFont="1" applyBorder="1" applyAlignment="1">
      <alignment horizontal="right" vertical="center"/>
    </xf>
    <xf numFmtId="49" fontId="113" fillId="0" borderId="9" xfId="0" applyNumberFormat="1" applyFont="1" applyBorder="1" applyAlignment="1">
      <alignment horizontal="center" vertical="center" wrapText="1"/>
    </xf>
    <xf numFmtId="49" fontId="113" fillId="0" borderId="7" xfId="0" applyNumberFormat="1" applyFont="1" applyBorder="1" applyAlignment="1">
      <alignment horizontal="center" vertical="center" wrapText="1"/>
    </xf>
    <xf numFmtId="49" fontId="113" fillId="0" borderId="10" xfId="0" applyNumberFormat="1" applyFont="1" applyBorder="1" applyAlignment="1">
      <alignment horizontal="center" vertical="center" wrapText="1"/>
    </xf>
    <xf numFmtId="173" fontId="7" fillId="4" borderId="10" xfId="2" applyNumberFormat="1" applyFont="1" applyFill="1" applyBorder="1" applyAlignment="1">
      <alignment horizontal="center" vertical="center" wrapText="1"/>
    </xf>
    <xf numFmtId="173" fontId="7" fillId="4" borderId="9" xfId="2" applyNumberFormat="1" applyFont="1" applyFill="1" applyBorder="1" applyAlignment="1">
      <alignment horizontal="center" vertical="center" wrapText="1"/>
    </xf>
    <xf numFmtId="173" fontId="7" fillId="4" borderId="7" xfId="2" applyNumberFormat="1" applyFont="1" applyFill="1" applyBorder="1" applyAlignment="1">
      <alignment horizontal="center" vertical="center" wrapText="1"/>
    </xf>
    <xf numFmtId="49" fontId="113" fillId="0" borderId="5" xfId="0" applyNumberFormat="1" applyFont="1" applyBorder="1" applyAlignment="1">
      <alignment horizontal="center" vertical="center" wrapText="1"/>
    </xf>
    <xf numFmtId="0" fontId="20" fillId="0" borderId="5" xfId="0" applyFont="1" applyBorder="1" applyAlignment="1">
      <alignment horizontal="center" vertical="center" wrapText="1"/>
    </xf>
    <xf numFmtId="0" fontId="18" fillId="0" borderId="0" xfId="0" applyFont="1" applyAlignment="1">
      <alignment horizontal="center" vertical="center" wrapText="1"/>
    </xf>
    <xf numFmtId="0" fontId="120" fillId="4" borderId="0" xfId="0" applyFont="1" applyFill="1" applyAlignment="1">
      <alignment horizontal="center"/>
    </xf>
    <xf numFmtId="0" fontId="23" fillId="4" borderId="22" xfId="0" applyFont="1" applyFill="1" applyBorder="1" applyAlignment="1">
      <alignment horizontal="center" vertical="center" wrapText="1"/>
    </xf>
    <xf numFmtId="0" fontId="23" fillId="4" borderId="24" xfId="0" applyFont="1" applyFill="1" applyBorder="1" applyAlignment="1">
      <alignment horizontal="center" vertical="center" wrapText="1"/>
    </xf>
    <xf numFmtId="0" fontId="70" fillId="4" borderId="0" xfId="0" applyFont="1" applyFill="1" applyAlignment="1">
      <alignment horizontal="center" vertical="center" wrapText="1"/>
    </xf>
    <xf numFmtId="0" fontId="85" fillId="4" borderId="0" xfId="0" applyFont="1" applyFill="1" applyAlignment="1">
      <alignment horizontal="center" vertical="center" wrapText="1"/>
    </xf>
    <xf numFmtId="0" fontId="112" fillId="4" borderId="0" xfId="0" applyFont="1" applyFill="1" applyAlignment="1">
      <alignment horizontal="center" vertical="center" wrapText="1"/>
    </xf>
    <xf numFmtId="0" fontId="71" fillId="4" borderId="5" xfId="0" applyFont="1" applyFill="1" applyBorder="1" applyAlignment="1">
      <alignment horizontal="center" vertical="center" wrapText="1"/>
    </xf>
    <xf numFmtId="14" fontId="71" fillId="4" borderId="5" xfId="0" applyNumberFormat="1" applyFont="1" applyFill="1" applyBorder="1" applyAlignment="1">
      <alignment horizontal="center" vertical="center" wrapText="1"/>
    </xf>
    <xf numFmtId="0" fontId="51" fillId="4" borderId="5" xfId="0" applyFont="1" applyFill="1" applyBorder="1" applyAlignment="1">
      <alignment horizontal="center" vertical="center" wrapText="1"/>
    </xf>
    <xf numFmtId="0" fontId="71" fillId="4" borderId="5" xfId="0" applyFont="1" applyFill="1" applyBorder="1" applyAlignment="1">
      <alignment horizontal="justify" vertical="center" wrapText="1"/>
    </xf>
    <xf numFmtId="0" fontId="51" fillId="4" borderId="5" xfId="0" applyFont="1" applyFill="1" applyBorder="1" applyAlignment="1">
      <alignment horizontal="justify" vertical="center" wrapText="1"/>
    </xf>
    <xf numFmtId="0" fontId="23" fillId="4" borderId="23"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24" xfId="0" applyFont="1" applyFill="1" applyBorder="1" applyAlignment="1">
      <alignment horizontal="center" vertical="center" wrapText="1"/>
    </xf>
    <xf numFmtId="3" fontId="23" fillId="4" borderId="25" xfId="0" applyNumberFormat="1" applyFont="1" applyFill="1" applyBorder="1" applyAlignment="1">
      <alignment horizontal="center" vertical="center" wrapText="1"/>
    </xf>
    <xf numFmtId="3" fontId="23" fillId="4" borderId="11" xfId="0" applyNumberFormat="1" applyFont="1" applyFill="1" applyBorder="1" applyAlignment="1">
      <alignment horizontal="center" vertical="center" wrapText="1"/>
    </xf>
    <xf numFmtId="0" fontId="96" fillId="4" borderId="5" xfId="0" applyFont="1" applyFill="1" applyBorder="1" applyAlignment="1">
      <alignment horizontal="center" vertical="center" wrapText="1"/>
    </xf>
    <xf numFmtId="14" fontId="96" fillId="4" borderId="5" xfId="0" applyNumberFormat="1" applyFont="1" applyFill="1" applyBorder="1" applyAlignment="1">
      <alignment horizontal="center" vertical="center" wrapText="1"/>
    </xf>
    <xf numFmtId="0" fontId="113" fillId="0" borderId="5" xfId="0" applyFont="1" applyBorder="1" applyAlignment="1">
      <alignment horizontal="center" vertical="center" wrapText="1"/>
    </xf>
    <xf numFmtId="0" fontId="49" fillId="4" borderId="13" xfId="0" applyFont="1" applyFill="1" applyBorder="1" applyAlignment="1">
      <alignment horizontal="right"/>
    </xf>
  </cellXfs>
  <cellStyles count="2288">
    <cellStyle name="_x0001_" xfId="47"/>
    <cellStyle name="          _x000d__x000a_shell=progman.exe_x000d__x000a_m" xfId="48"/>
    <cellStyle name="          _x000d__x000a_shell=progman.exe_x000d__x000a_m 2" xfId="49"/>
    <cellStyle name="_x000d__x000a_JournalTemplate=C:\COMFO\CTALK\JOURSTD.TPL_x000d__x000a_LbStateAddress=3 3 0 251 1 89 2 311_x000d__x000a_LbStateJou" xfId="50"/>
    <cellStyle name="_x000d__x000a_JournalTemplate=C:\COMFO\CTALK\JOURSTD.TPL_x000d__x000a_LbStateAddress=3 3 0 251 1 89 2 311_x000d__x000a_LbStateJou 3" xfId="51"/>
    <cellStyle name="#,##0" xfId="52"/>
    <cellStyle name="%" xfId="53"/>
    <cellStyle name="." xfId="54"/>
    <cellStyle name=". 2" xfId="55"/>
    <cellStyle name=". 3" xfId="56"/>
    <cellStyle name=".d©y" xfId="57"/>
    <cellStyle name="??" xfId="58"/>
    <cellStyle name="?? [0.00]_ Att. 1- Cover" xfId="59"/>
    <cellStyle name="?? [0]" xfId="60"/>
    <cellStyle name="?? [0] 2" xfId="61"/>
    <cellStyle name="?? 2" xfId="62"/>
    <cellStyle name="?? 3" xfId="63"/>
    <cellStyle name="?? 4" xfId="64"/>
    <cellStyle name="?_x001d_??%U©÷u&amp;H©÷9_x0008_?_x0009_s_x000a__x0007__x0001__x0001_" xfId="65"/>
    <cellStyle name="???? [0.00]_      " xfId="66"/>
    <cellStyle name="??????" xfId="67"/>
    <cellStyle name="????_      " xfId="68"/>
    <cellStyle name="???[0]_?? DI" xfId="69"/>
    <cellStyle name="???_?? DI" xfId="70"/>
    <cellStyle name="??[0]_BRE" xfId="71"/>
    <cellStyle name="??_      " xfId="72"/>
    <cellStyle name="??A? [0]_laroux_1_¢¬???¢â? " xfId="73"/>
    <cellStyle name="??A?_laroux_1_¢¬???¢â? " xfId="74"/>
    <cellStyle name="?¡±¢¥?_?¨ù??¢´¢¥_¢¬???¢â? " xfId="75"/>
    <cellStyle name="?ðÇ%U?&amp;H?_x0008_?s_x000a__x0007__x0001__x0001_" xfId="76"/>
    <cellStyle name="[0]_Chi phÝ kh¸c_V" xfId="77"/>
    <cellStyle name="_1 TONG HOP - CA NA" xfId="78"/>
    <cellStyle name="_123_DONG_THANH_Moi" xfId="79"/>
    <cellStyle name="_123_DONG_THANH_Moi_131114- Bieu giao du toan CTMTQG 2014 giao" xfId="80"/>
    <cellStyle name="_130307 So sanh thuc hien 2012 - du toan 2012 moi (pan khac)" xfId="81"/>
    <cellStyle name="_130313 Mau  bieu bao cao nguon luc cua dia phuong sua" xfId="82"/>
    <cellStyle name="_130818 Tong hop Danh gia thu 2013" xfId="83"/>
    <cellStyle name="_130818 Tong hop Danh gia thu 2013_140921 bu giam thu ND 209" xfId="84"/>
    <cellStyle name="_130818 Tong hop Danh gia thu 2013_150809  UTH  2015" xfId="85"/>
    <cellStyle name="_130818 Tong hop Danh gia thu 2013_A141023 UTH nam 2014 (574.100)" xfId="86"/>
    <cellStyle name="_130818 Tong hop Danh gia thu 2013_A150305 209" xfId="87"/>
    <cellStyle name="_130818 Tong hop Danh gia thu 2013_A160201 Thuc hien thu 2014, 2015, 2016 (Bao cao Vu)" xfId="88"/>
    <cellStyle name="_130818 Tong hop Danh gia thu 2013_EXTIMATE 2016" xfId="89"/>
    <cellStyle name="_130818 Tong hop Danh gia thu 2013_REV 2014" xfId="90"/>
    <cellStyle name="_150115 Tong hop thu NSNN theo so KBNN (cong SGD dieu chinh Quang Ngai)" xfId="91"/>
    <cellStyle name="_150115 Tong hop thu NSNN theo so KBNN (goc)" xfId="92"/>
    <cellStyle name="_160112 Thu kho bac nhan nuoc 2015" xfId="93"/>
    <cellStyle name="_19- Hai Duong-V1" xfId="94"/>
    <cellStyle name="_19- Hai Duong-V1_TH Ket qua thao luan nam 2015 - Vong 1- TCT (Nhan)" xfId="95"/>
    <cellStyle name="_Bang Chi tieu (2)" xfId="96"/>
    <cellStyle name="_BAO GIA NGAY 24-10-08 (co dam)" xfId="97"/>
    <cellStyle name="_BC CV 6403 BKHĐT" xfId="98"/>
    <cellStyle name="_Book1" xfId="99"/>
    <cellStyle name="_Book1_1" xfId="100"/>
    <cellStyle name="_Book1_131114- Bieu giao du toan CTMTQG 2014 giao" xfId="101"/>
    <cellStyle name="_Book1_cong hang rao" xfId="102"/>
    <cellStyle name="_Book1_cong hang rao_131114- Bieu giao du toan CTMTQG 2014 giao" xfId="103"/>
    <cellStyle name="_Book1_IN" xfId="104"/>
    <cellStyle name="_Book1_Kh ql62 (2010) 11-09" xfId="105"/>
    <cellStyle name="_Book1_Khung 2012" xfId="106"/>
    <cellStyle name="_Book1_phu luc tong ket tinh hinh TH giai doan 03-10 (ngay 30)" xfId="107"/>
    <cellStyle name="_Book1_phu luc tong ket tinh hinh TH giai doan 03-10 (ngay 30)_131114- Bieu giao du toan CTMTQG 2014 giao" xfId="108"/>
    <cellStyle name="_C.cong+B.luong-Sanluong" xfId="109"/>
    <cellStyle name="_cong hang rao" xfId="110"/>
    <cellStyle name="_x0001__CTMTQG 2015" xfId="111"/>
    <cellStyle name="_DG 2012-DT2013 - Theo sac thue -sua" xfId="112"/>
    <cellStyle name="_DG 2012-DT2013 - Theo sac thue -sua_120907 Thu tang them 4500" xfId="113"/>
    <cellStyle name="_DG 2012-DT2013 - Theo sac thue -sua_27-8Tong hop PA uoc 2012-DT 2013 -PA 420.000 ty-490.000 ty chuyen doi" xfId="114"/>
    <cellStyle name="_dien chieu sang" xfId="115"/>
    <cellStyle name="_DO-D1500-KHONG CO TRONG DT" xfId="116"/>
    <cellStyle name="_Duyet TK thay đôi" xfId="117"/>
    <cellStyle name="_Duyet TK thay đôi_131114- Bieu giao du toan CTMTQG 2014 giao" xfId="118"/>
    <cellStyle name="_EXTIMATE 2016" xfId="119"/>
    <cellStyle name="_GOITHAUSO2" xfId="120"/>
    <cellStyle name="_GOITHAUSO3" xfId="121"/>
    <cellStyle name="_GOITHAUSO4" xfId="122"/>
    <cellStyle name="_HaHoa_TDT_DienCSang" xfId="123"/>
    <cellStyle name="_HaHoa19-5-07" xfId="124"/>
    <cellStyle name="_IN" xfId="125"/>
    <cellStyle name="_IN_131114- Bieu giao du toan CTMTQG 2014 giao" xfId="126"/>
    <cellStyle name="_KT (2)" xfId="129"/>
    <cellStyle name="_KT (2)_1" xfId="130"/>
    <cellStyle name="_KT (2)_1_CTMTQG 2015" xfId="131"/>
    <cellStyle name="_KT (2)_1_Lora-tungchau" xfId="132"/>
    <cellStyle name="_KT (2)_1_Qt-HT3PQ1(CauKho)" xfId="133"/>
    <cellStyle name="_KT (2)_2" xfId="134"/>
    <cellStyle name="_KT (2)_2_TG-TH" xfId="135"/>
    <cellStyle name="_KT (2)_2_TG-TH_ApGiaVatTu_cayxanh_latgach" xfId="136"/>
    <cellStyle name="_KT (2)_2_TG-TH_BANG TONG HOP TINH HINH THANH QUYET TOAN (MOI I)" xfId="137"/>
    <cellStyle name="_KT (2)_2_TG-TH_BAO GIA NGAY 24-10-08 (co dam)" xfId="138"/>
    <cellStyle name="_KT (2)_2_TG-TH_BC CV 6403 BKHĐT" xfId="139"/>
    <cellStyle name="_KT (2)_2_TG-TH_BC NQ11-CP - chinh sua lai" xfId="140"/>
    <cellStyle name="_KT (2)_2_TG-TH_BC NQ11-CP-Quynh sau bieu so3" xfId="141"/>
    <cellStyle name="_KT (2)_2_TG-TH_BC_NQ11-CP_-_Thao_sua_lai" xfId="142"/>
    <cellStyle name="_KT (2)_2_TG-TH_Book1" xfId="143"/>
    <cellStyle name="_KT (2)_2_TG-TH_Book1_1" xfId="144"/>
    <cellStyle name="_KT (2)_2_TG-TH_Book1_1_BC CV 6403 BKHĐT" xfId="145"/>
    <cellStyle name="_KT (2)_2_TG-TH_Book1_1_Luy ke von ung nam 2011 -Thoa gui ngay 12-8-2012" xfId="146"/>
    <cellStyle name="_KT (2)_2_TG-TH_Book1_2" xfId="147"/>
    <cellStyle name="_KT (2)_2_TG-TH_Book1_2_BC CV 6403 BKHĐT" xfId="148"/>
    <cellStyle name="_KT (2)_2_TG-TH_Book1_2_Luy ke von ung nam 2011 -Thoa gui ngay 12-8-2012" xfId="149"/>
    <cellStyle name="_KT (2)_2_TG-TH_Book1_BC CV 6403 BKHĐT" xfId="150"/>
    <cellStyle name="_KT (2)_2_TG-TH_Book1_Luy ke von ung nam 2011 -Thoa gui ngay 12-8-2012" xfId="151"/>
    <cellStyle name="_KT (2)_2_TG-TH_CAU Khanh Nam(Thi Cong)" xfId="152"/>
    <cellStyle name="_KT (2)_2_TG-TH_CoCauPhi (version 1)" xfId="154"/>
    <cellStyle name="_KT (2)_2_TG-TH_CTMTQG 2015" xfId="155"/>
    <cellStyle name="_KT (2)_2_TG-TH_ChiHuong_ApGia" xfId="153"/>
    <cellStyle name="_KT (2)_2_TG-TH_DAU NOI PL-CL TAI PHU LAMHC" xfId="156"/>
    <cellStyle name="_KT (2)_2_TG-TH_DU TRU VAT TU" xfId="157"/>
    <cellStyle name="_KT (2)_2_TG-TH_Lora-tungchau" xfId="158"/>
    <cellStyle name="_KT (2)_2_TG-TH_Luy ke von ung nam 2011 -Thoa gui ngay 12-8-2012" xfId="159"/>
    <cellStyle name="_KT (2)_2_TG-TH_NhanCong" xfId="160"/>
    <cellStyle name="_KT (2)_2_TG-TH_phu luc tong ket tinh hinh TH giai doan 03-10 (ngay 30)" xfId="161"/>
    <cellStyle name="_KT (2)_2_TG-TH_Qt-HT3PQ1(CauKho)" xfId="162"/>
    <cellStyle name="_KT (2)_2_TG-TH_Sheet1" xfId="163"/>
    <cellStyle name="_KT (2)_2_TG-TH_ÿÿÿÿÿ" xfId="164"/>
    <cellStyle name="_KT (2)_3" xfId="165"/>
    <cellStyle name="_KT (2)_3_TG-TH" xfId="166"/>
    <cellStyle name="_KT (2)_3_TG-TH_CTMTQG 2015" xfId="167"/>
    <cellStyle name="_KT (2)_3_TG-TH_Lora-tungchau" xfId="168"/>
    <cellStyle name="_KT (2)_3_TG-TH_PERSONAL" xfId="169"/>
    <cellStyle name="_KT (2)_3_TG-TH_PERSONAL_BC CV 6403 BKHĐT" xfId="170"/>
    <cellStyle name="_KT (2)_3_TG-TH_PERSONAL_Book1" xfId="171"/>
    <cellStyle name="_KT (2)_3_TG-TH_PERSONAL_Luy ke von ung nam 2011 -Thoa gui ngay 12-8-2012" xfId="172"/>
    <cellStyle name="_KT (2)_3_TG-TH_PERSONAL_Tong hop KHCB 2001" xfId="173"/>
    <cellStyle name="_KT (2)_3_TG-TH_Qt-HT3PQ1(CauKho)" xfId="174"/>
    <cellStyle name="_KT (2)_4" xfId="175"/>
    <cellStyle name="_KT (2)_4_ApGiaVatTu_cayxanh_latgach" xfId="176"/>
    <cellStyle name="_KT (2)_4_BANG TONG HOP TINH HINH THANH QUYET TOAN (MOI I)" xfId="177"/>
    <cellStyle name="_KT (2)_4_BAO GIA NGAY 24-10-08 (co dam)" xfId="178"/>
    <cellStyle name="_KT (2)_4_BC CV 6403 BKHĐT" xfId="179"/>
    <cellStyle name="_KT (2)_4_BC NQ11-CP - chinh sua lai" xfId="180"/>
    <cellStyle name="_KT (2)_4_BC NQ11-CP-Quynh sau bieu so3" xfId="181"/>
    <cellStyle name="_KT (2)_4_BC_NQ11-CP_-_Thao_sua_lai" xfId="182"/>
    <cellStyle name="_KT (2)_4_Book1" xfId="183"/>
    <cellStyle name="_KT (2)_4_Book1_1" xfId="184"/>
    <cellStyle name="_KT (2)_4_Book1_1_BC CV 6403 BKHĐT" xfId="185"/>
    <cellStyle name="_KT (2)_4_Book1_1_Luy ke von ung nam 2011 -Thoa gui ngay 12-8-2012" xfId="186"/>
    <cellStyle name="_KT (2)_4_Book1_2" xfId="187"/>
    <cellStyle name="_KT (2)_4_Book1_2_BC CV 6403 BKHĐT" xfId="188"/>
    <cellStyle name="_KT (2)_4_Book1_2_Luy ke von ung nam 2011 -Thoa gui ngay 12-8-2012" xfId="189"/>
    <cellStyle name="_KT (2)_4_Book1_BC CV 6403 BKHĐT" xfId="190"/>
    <cellStyle name="_KT (2)_4_Book1_Luy ke von ung nam 2011 -Thoa gui ngay 12-8-2012" xfId="191"/>
    <cellStyle name="_KT (2)_4_CAU Khanh Nam(Thi Cong)" xfId="192"/>
    <cellStyle name="_KT (2)_4_CoCauPhi (version 1)" xfId="194"/>
    <cellStyle name="_KT (2)_4_CTMTQG 2015" xfId="195"/>
    <cellStyle name="_KT (2)_4_ChiHuong_ApGia" xfId="193"/>
    <cellStyle name="_KT (2)_4_DAU NOI PL-CL TAI PHU LAMHC" xfId="196"/>
    <cellStyle name="_KT (2)_4_DU TRU VAT TU" xfId="197"/>
    <cellStyle name="_KT (2)_4_Lora-tungchau" xfId="198"/>
    <cellStyle name="_KT (2)_4_Luy ke von ung nam 2011 -Thoa gui ngay 12-8-2012" xfId="199"/>
    <cellStyle name="_KT (2)_4_NhanCong" xfId="200"/>
    <cellStyle name="_KT (2)_4_phu luc tong ket tinh hinh TH giai doan 03-10 (ngay 30)" xfId="201"/>
    <cellStyle name="_KT (2)_4_Qt-HT3PQ1(CauKho)" xfId="202"/>
    <cellStyle name="_KT (2)_4_Sheet1" xfId="203"/>
    <cellStyle name="_KT (2)_4_TG-TH" xfId="204"/>
    <cellStyle name="_KT (2)_4_ÿÿÿÿÿ" xfId="205"/>
    <cellStyle name="_KT (2)_5" xfId="206"/>
    <cellStyle name="_KT (2)_5_ApGiaVatTu_cayxanh_latgach" xfId="207"/>
    <cellStyle name="_KT (2)_5_BANG TONG HOP TINH HINH THANH QUYET TOAN (MOI I)" xfId="208"/>
    <cellStyle name="_KT (2)_5_BAO GIA NGAY 24-10-08 (co dam)" xfId="209"/>
    <cellStyle name="_KT (2)_5_BC CV 6403 BKHĐT" xfId="210"/>
    <cellStyle name="_KT (2)_5_BC NQ11-CP - chinh sua lai" xfId="211"/>
    <cellStyle name="_KT (2)_5_BC NQ11-CP-Quynh sau bieu so3" xfId="212"/>
    <cellStyle name="_KT (2)_5_BC_NQ11-CP_-_Thao_sua_lai" xfId="213"/>
    <cellStyle name="_KT (2)_5_Book1" xfId="214"/>
    <cellStyle name="_KT (2)_5_Book1_1" xfId="215"/>
    <cellStyle name="_KT (2)_5_Book1_1_BC CV 6403 BKHĐT" xfId="216"/>
    <cellStyle name="_KT (2)_5_Book1_1_Luy ke von ung nam 2011 -Thoa gui ngay 12-8-2012" xfId="217"/>
    <cellStyle name="_KT (2)_5_Book1_2" xfId="218"/>
    <cellStyle name="_KT (2)_5_Book1_2_BC CV 6403 BKHĐT" xfId="219"/>
    <cellStyle name="_KT (2)_5_Book1_2_Luy ke von ung nam 2011 -Thoa gui ngay 12-8-2012" xfId="220"/>
    <cellStyle name="_KT (2)_5_Book1_BC CV 6403 BKHĐT" xfId="221"/>
    <cellStyle name="_KT (2)_5_Book1_Luy ke von ung nam 2011 -Thoa gui ngay 12-8-2012" xfId="222"/>
    <cellStyle name="_KT (2)_5_CAU Khanh Nam(Thi Cong)" xfId="223"/>
    <cellStyle name="_KT (2)_5_CoCauPhi (version 1)" xfId="225"/>
    <cellStyle name="_KT (2)_5_ChiHuong_ApGia" xfId="224"/>
    <cellStyle name="_KT (2)_5_DAU NOI PL-CL TAI PHU LAMHC" xfId="226"/>
    <cellStyle name="_KT (2)_5_DU TRU VAT TU" xfId="227"/>
    <cellStyle name="_KT (2)_5_Lora-tungchau" xfId="228"/>
    <cellStyle name="_KT (2)_5_Luy ke von ung nam 2011 -Thoa gui ngay 12-8-2012" xfId="229"/>
    <cellStyle name="_KT (2)_5_NhanCong" xfId="230"/>
    <cellStyle name="_KT (2)_5_phu luc tong ket tinh hinh TH giai doan 03-10 (ngay 30)" xfId="231"/>
    <cellStyle name="_KT (2)_5_Qt-HT3PQ1(CauKho)" xfId="232"/>
    <cellStyle name="_KT (2)_5_Sheet1" xfId="233"/>
    <cellStyle name="_KT (2)_5_ÿÿÿÿÿ" xfId="234"/>
    <cellStyle name="_KT (2)_CTMTQG 2015" xfId="235"/>
    <cellStyle name="_KT (2)_Lora-tungchau" xfId="236"/>
    <cellStyle name="_KT (2)_PERSONAL" xfId="237"/>
    <cellStyle name="_KT (2)_PERSONAL_BC CV 6403 BKHĐT" xfId="238"/>
    <cellStyle name="_KT (2)_PERSONAL_Book1" xfId="239"/>
    <cellStyle name="_KT (2)_PERSONAL_Luy ke von ung nam 2011 -Thoa gui ngay 12-8-2012" xfId="240"/>
    <cellStyle name="_KT (2)_PERSONAL_Tong hop KHCB 2001" xfId="241"/>
    <cellStyle name="_KT (2)_Qt-HT3PQ1(CauKho)" xfId="242"/>
    <cellStyle name="_KT (2)_TG-TH" xfId="243"/>
    <cellStyle name="_KT_TG" xfId="244"/>
    <cellStyle name="_KT_TG_1" xfId="245"/>
    <cellStyle name="_KT_TG_1_ApGiaVatTu_cayxanh_latgach" xfId="246"/>
    <cellStyle name="_KT_TG_1_BANG TONG HOP TINH HINH THANH QUYET TOAN (MOI I)" xfId="247"/>
    <cellStyle name="_KT_TG_1_BAO GIA NGAY 24-10-08 (co dam)" xfId="248"/>
    <cellStyle name="_KT_TG_1_BC CV 6403 BKHĐT" xfId="249"/>
    <cellStyle name="_KT_TG_1_BC NQ11-CP - chinh sua lai" xfId="250"/>
    <cellStyle name="_KT_TG_1_BC NQ11-CP-Quynh sau bieu so3" xfId="251"/>
    <cellStyle name="_KT_TG_1_BC_NQ11-CP_-_Thao_sua_lai" xfId="252"/>
    <cellStyle name="_KT_TG_1_Book1" xfId="253"/>
    <cellStyle name="_KT_TG_1_Book1_1" xfId="254"/>
    <cellStyle name="_KT_TG_1_Book1_1_BC CV 6403 BKHĐT" xfId="255"/>
    <cellStyle name="_KT_TG_1_Book1_1_Luy ke von ung nam 2011 -Thoa gui ngay 12-8-2012" xfId="256"/>
    <cellStyle name="_KT_TG_1_Book1_2" xfId="257"/>
    <cellStyle name="_KT_TG_1_Book1_2_BC CV 6403 BKHĐT" xfId="258"/>
    <cellStyle name="_KT_TG_1_Book1_2_Luy ke von ung nam 2011 -Thoa gui ngay 12-8-2012" xfId="259"/>
    <cellStyle name="_KT_TG_1_Book1_BC CV 6403 BKHĐT" xfId="260"/>
    <cellStyle name="_KT_TG_1_Book1_Luy ke von ung nam 2011 -Thoa gui ngay 12-8-2012" xfId="261"/>
    <cellStyle name="_KT_TG_1_CAU Khanh Nam(Thi Cong)" xfId="262"/>
    <cellStyle name="_KT_TG_1_CoCauPhi (version 1)" xfId="264"/>
    <cellStyle name="_KT_TG_1_ChiHuong_ApGia" xfId="263"/>
    <cellStyle name="_KT_TG_1_DAU NOI PL-CL TAI PHU LAMHC" xfId="265"/>
    <cellStyle name="_KT_TG_1_DU TRU VAT TU" xfId="266"/>
    <cellStyle name="_KT_TG_1_Lora-tungchau" xfId="267"/>
    <cellStyle name="_KT_TG_1_Luy ke von ung nam 2011 -Thoa gui ngay 12-8-2012" xfId="268"/>
    <cellStyle name="_KT_TG_1_NhanCong" xfId="269"/>
    <cellStyle name="_KT_TG_1_phu luc tong ket tinh hinh TH giai doan 03-10 (ngay 30)" xfId="270"/>
    <cellStyle name="_KT_TG_1_Qt-HT3PQ1(CauKho)" xfId="271"/>
    <cellStyle name="_KT_TG_1_Sheet1" xfId="272"/>
    <cellStyle name="_KT_TG_1_ÿÿÿÿÿ" xfId="273"/>
    <cellStyle name="_KT_TG_2" xfId="274"/>
    <cellStyle name="_KT_TG_2_ApGiaVatTu_cayxanh_latgach" xfId="275"/>
    <cellStyle name="_KT_TG_2_BANG TONG HOP TINH HINH THANH QUYET TOAN (MOI I)" xfId="276"/>
    <cellStyle name="_KT_TG_2_BAO GIA NGAY 24-10-08 (co dam)" xfId="277"/>
    <cellStyle name="_KT_TG_2_BC CV 6403 BKHĐT" xfId="278"/>
    <cellStyle name="_KT_TG_2_BC NQ11-CP - chinh sua lai" xfId="279"/>
    <cellStyle name="_KT_TG_2_BC NQ11-CP-Quynh sau bieu so3" xfId="280"/>
    <cellStyle name="_KT_TG_2_BC_NQ11-CP_-_Thao_sua_lai" xfId="281"/>
    <cellStyle name="_KT_TG_2_Book1" xfId="282"/>
    <cellStyle name="_KT_TG_2_Book1_1" xfId="283"/>
    <cellStyle name="_KT_TG_2_Book1_1_BC CV 6403 BKHĐT" xfId="284"/>
    <cellStyle name="_KT_TG_2_Book1_1_Luy ke von ung nam 2011 -Thoa gui ngay 12-8-2012" xfId="285"/>
    <cellStyle name="_KT_TG_2_Book1_2" xfId="286"/>
    <cellStyle name="_KT_TG_2_Book1_2_BC CV 6403 BKHĐT" xfId="287"/>
    <cellStyle name="_KT_TG_2_Book1_2_Luy ke von ung nam 2011 -Thoa gui ngay 12-8-2012" xfId="288"/>
    <cellStyle name="_KT_TG_2_Book1_BC CV 6403 BKHĐT" xfId="289"/>
    <cellStyle name="_KT_TG_2_Book1_Luy ke von ung nam 2011 -Thoa gui ngay 12-8-2012" xfId="290"/>
    <cellStyle name="_KT_TG_2_CAU Khanh Nam(Thi Cong)" xfId="291"/>
    <cellStyle name="_KT_TG_2_CoCauPhi (version 1)" xfId="293"/>
    <cellStyle name="_KT_TG_2_CTMTQG 2015" xfId="294"/>
    <cellStyle name="_KT_TG_2_ChiHuong_ApGia" xfId="292"/>
    <cellStyle name="_KT_TG_2_DAU NOI PL-CL TAI PHU LAMHC" xfId="295"/>
    <cellStyle name="_KT_TG_2_DU TRU VAT TU" xfId="296"/>
    <cellStyle name="_KT_TG_2_Lora-tungchau" xfId="297"/>
    <cellStyle name="_KT_TG_2_Luy ke von ung nam 2011 -Thoa gui ngay 12-8-2012" xfId="298"/>
    <cellStyle name="_KT_TG_2_NhanCong" xfId="299"/>
    <cellStyle name="_KT_TG_2_phu luc tong ket tinh hinh TH giai doan 03-10 (ngay 30)" xfId="300"/>
    <cellStyle name="_KT_TG_2_Qt-HT3PQ1(CauKho)" xfId="301"/>
    <cellStyle name="_KT_TG_2_Sheet1" xfId="302"/>
    <cellStyle name="_KT_TG_2_ÿÿÿÿÿ" xfId="303"/>
    <cellStyle name="_KT_TG_3" xfId="304"/>
    <cellStyle name="_KT_TG_4" xfId="305"/>
    <cellStyle name="_KT_TG_4_CTMTQG 2015" xfId="306"/>
    <cellStyle name="_KT_TG_4_Lora-tungchau" xfId="307"/>
    <cellStyle name="_KT_TG_4_Qt-HT3PQ1(CauKho)" xfId="308"/>
    <cellStyle name="_Kh ql62 (2010) 11-09" xfId="127"/>
    <cellStyle name="_Khung 2012" xfId="128"/>
    <cellStyle name="_Lora-tungchau" xfId="309"/>
    <cellStyle name="_Luy ke von ung nam 2011 -Thoa gui ngay 12-8-2012" xfId="310"/>
    <cellStyle name="_mau so 3" xfId="311"/>
    <cellStyle name="_MauThanTKKT-goi7-DonGia2143(vl t7)" xfId="312"/>
    <cellStyle name="_MauThanTKKT-goi7-DonGia2143(vl t7)_131114- Bieu giao du toan CTMTQG 2014 giao" xfId="313"/>
    <cellStyle name="_Nhu cau von ung truoc 2011 Tha h Hoa + Nge An gui TW" xfId="314"/>
    <cellStyle name="_Nhu cau von ung truoc 2011 Tha h Hoa + Nge An gui TW_131114- Bieu giao du toan CTMTQG 2014 giao" xfId="315"/>
    <cellStyle name="_PERSONAL" xfId="316"/>
    <cellStyle name="_PERSONAL_BC CV 6403 BKHĐT" xfId="317"/>
    <cellStyle name="_PERSONAL_Book1" xfId="318"/>
    <cellStyle name="_PERSONAL_Luy ke von ung nam 2011 -Thoa gui ngay 12-8-2012" xfId="319"/>
    <cellStyle name="_PERSONAL_Tong hop KHCB 2001" xfId="320"/>
    <cellStyle name="_phong bo mon22" xfId="321"/>
    <cellStyle name="_phong bo mon22_131114- Bieu giao du toan CTMTQG 2014 giao" xfId="322"/>
    <cellStyle name="_Phu luc kem BC gui VP Bo (18.2)" xfId="323"/>
    <cellStyle name="_phu luc tong ket tinh hinh TH giai doan 03-10 (ngay 30)" xfId="324"/>
    <cellStyle name="_Q TOAN  SCTX QL.62 QUI I ( oanh)" xfId="325"/>
    <cellStyle name="_Q TOAN  SCTX QL.62 QUI II ( oanh)" xfId="326"/>
    <cellStyle name="_QT SCTXQL62_QT1 (Cty QL)" xfId="327"/>
    <cellStyle name="_Qt-HT3PQ1(CauKho)" xfId="328"/>
    <cellStyle name="_REV 2014" xfId="329"/>
    <cellStyle name="_Sheet1" xfId="330"/>
    <cellStyle name="_Sheet2" xfId="331"/>
    <cellStyle name="_TG-TH" xfId="332"/>
    <cellStyle name="_TG-TH_1" xfId="333"/>
    <cellStyle name="_TG-TH_1_ApGiaVatTu_cayxanh_latgach" xfId="334"/>
    <cellStyle name="_TG-TH_1_BANG TONG HOP TINH HINH THANH QUYET TOAN (MOI I)" xfId="335"/>
    <cellStyle name="_TG-TH_1_BAO GIA NGAY 24-10-08 (co dam)" xfId="336"/>
    <cellStyle name="_TG-TH_1_BC CV 6403 BKHĐT" xfId="337"/>
    <cellStyle name="_TG-TH_1_BC NQ11-CP - chinh sua lai" xfId="338"/>
    <cellStyle name="_TG-TH_1_BC NQ11-CP-Quynh sau bieu so3" xfId="339"/>
    <cellStyle name="_TG-TH_1_BC_NQ11-CP_-_Thao_sua_lai" xfId="340"/>
    <cellStyle name="_TG-TH_1_Book1" xfId="341"/>
    <cellStyle name="_TG-TH_1_Book1_1" xfId="342"/>
    <cellStyle name="_TG-TH_1_Book1_1_BC CV 6403 BKHĐT" xfId="343"/>
    <cellStyle name="_TG-TH_1_Book1_1_Luy ke von ung nam 2011 -Thoa gui ngay 12-8-2012" xfId="344"/>
    <cellStyle name="_TG-TH_1_Book1_2" xfId="345"/>
    <cellStyle name="_TG-TH_1_Book1_2_BC CV 6403 BKHĐT" xfId="346"/>
    <cellStyle name="_TG-TH_1_Book1_2_Luy ke von ung nam 2011 -Thoa gui ngay 12-8-2012" xfId="347"/>
    <cellStyle name="_TG-TH_1_Book1_BC CV 6403 BKHĐT" xfId="348"/>
    <cellStyle name="_TG-TH_1_Book1_Luy ke von ung nam 2011 -Thoa gui ngay 12-8-2012" xfId="349"/>
    <cellStyle name="_TG-TH_1_CAU Khanh Nam(Thi Cong)" xfId="350"/>
    <cellStyle name="_TG-TH_1_CoCauPhi (version 1)" xfId="352"/>
    <cellStyle name="_TG-TH_1_ChiHuong_ApGia" xfId="351"/>
    <cellStyle name="_TG-TH_1_DAU NOI PL-CL TAI PHU LAMHC" xfId="353"/>
    <cellStyle name="_TG-TH_1_DU TRU VAT TU" xfId="354"/>
    <cellStyle name="_TG-TH_1_Lora-tungchau" xfId="355"/>
    <cellStyle name="_TG-TH_1_Luy ke von ung nam 2011 -Thoa gui ngay 12-8-2012" xfId="356"/>
    <cellStyle name="_TG-TH_1_NhanCong" xfId="357"/>
    <cellStyle name="_TG-TH_1_phu luc tong ket tinh hinh TH giai doan 03-10 (ngay 30)" xfId="358"/>
    <cellStyle name="_TG-TH_1_Qt-HT3PQ1(CauKho)" xfId="359"/>
    <cellStyle name="_TG-TH_1_Sheet1" xfId="360"/>
    <cellStyle name="_TG-TH_1_ÿÿÿÿÿ" xfId="361"/>
    <cellStyle name="_TG-TH_2" xfId="362"/>
    <cellStyle name="_TG-TH_2_ApGiaVatTu_cayxanh_latgach" xfId="363"/>
    <cellStyle name="_TG-TH_2_BANG TONG HOP TINH HINH THANH QUYET TOAN (MOI I)" xfId="364"/>
    <cellStyle name="_TG-TH_2_BAO GIA NGAY 24-10-08 (co dam)" xfId="365"/>
    <cellStyle name="_TG-TH_2_BC CV 6403 BKHĐT" xfId="366"/>
    <cellStyle name="_TG-TH_2_BC NQ11-CP - chinh sua lai" xfId="367"/>
    <cellStyle name="_TG-TH_2_BC NQ11-CP-Quynh sau bieu so3" xfId="368"/>
    <cellStyle name="_TG-TH_2_BC_NQ11-CP_-_Thao_sua_lai" xfId="369"/>
    <cellStyle name="_TG-TH_2_Book1" xfId="370"/>
    <cellStyle name="_TG-TH_2_Book1_1" xfId="371"/>
    <cellStyle name="_TG-TH_2_Book1_1_BC CV 6403 BKHĐT" xfId="372"/>
    <cellStyle name="_TG-TH_2_Book1_1_Luy ke von ung nam 2011 -Thoa gui ngay 12-8-2012" xfId="373"/>
    <cellStyle name="_TG-TH_2_Book1_2" xfId="374"/>
    <cellStyle name="_TG-TH_2_Book1_2_BC CV 6403 BKHĐT" xfId="375"/>
    <cellStyle name="_TG-TH_2_Book1_2_Luy ke von ung nam 2011 -Thoa gui ngay 12-8-2012" xfId="376"/>
    <cellStyle name="_TG-TH_2_Book1_BC CV 6403 BKHĐT" xfId="377"/>
    <cellStyle name="_TG-TH_2_Book1_Luy ke von ung nam 2011 -Thoa gui ngay 12-8-2012" xfId="378"/>
    <cellStyle name="_TG-TH_2_CAU Khanh Nam(Thi Cong)" xfId="379"/>
    <cellStyle name="_TG-TH_2_CoCauPhi (version 1)" xfId="381"/>
    <cellStyle name="_TG-TH_2_CTMTQG 2015" xfId="382"/>
    <cellStyle name="_TG-TH_2_ChiHuong_ApGia" xfId="380"/>
    <cellStyle name="_TG-TH_2_DAU NOI PL-CL TAI PHU LAMHC" xfId="383"/>
    <cellStyle name="_TG-TH_2_DU TRU VAT TU" xfId="384"/>
    <cellStyle name="_TG-TH_2_Lora-tungchau" xfId="385"/>
    <cellStyle name="_TG-TH_2_Luy ke von ung nam 2011 -Thoa gui ngay 12-8-2012" xfId="386"/>
    <cellStyle name="_TG-TH_2_NhanCong" xfId="387"/>
    <cellStyle name="_TG-TH_2_phu luc tong ket tinh hinh TH giai doan 03-10 (ngay 30)" xfId="388"/>
    <cellStyle name="_TG-TH_2_Qt-HT3PQ1(CauKho)" xfId="389"/>
    <cellStyle name="_TG-TH_2_Sheet1" xfId="390"/>
    <cellStyle name="_TG-TH_2_ÿÿÿÿÿ" xfId="391"/>
    <cellStyle name="_TG-TH_3" xfId="392"/>
    <cellStyle name="_TG-TH_3_CTMTQG 2015" xfId="393"/>
    <cellStyle name="_TG-TH_3_Lora-tungchau" xfId="394"/>
    <cellStyle name="_TG-TH_3_Qt-HT3PQ1(CauKho)" xfId="395"/>
    <cellStyle name="_TG-TH_4" xfId="396"/>
    <cellStyle name="_Tong dutoan PP LAHAI" xfId="397"/>
    <cellStyle name="_TPCP GT-24-5-Mien Nui" xfId="398"/>
    <cellStyle name="_TPCP GT-24-5-Mien Nui_131114- Bieu giao du toan CTMTQG 2014 giao" xfId="399"/>
    <cellStyle name="_ung truoc 2011 NSTW Thanh Hoa + Nge An gui Thu 12-5" xfId="400"/>
    <cellStyle name="_ung truoc 2011 NSTW Thanh Hoa + Nge An gui Thu 12-5_131114- Bieu giao du toan CTMTQG 2014 giao" xfId="401"/>
    <cellStyle name="_ung truoc cua long an (6-5-2010)" xfId="402"/>
    <cellStyle name="_Ung von nam 2011 vung TNB - Doan Cong tac (12-5-2010)" xfId="403"/>
    <cellStyle name="_Ung von nam 2011 vung TNB - Doan Cong tac (12-5-2010)_131114- Bieu giao du toan CTMTQG 2014 giao" xfId="404"/>
    <cellStyle name="_Ung von nam 2011 vung TNB - Doan Cong tac (12-5-2010)_Cong trinh co y kien LD_Dang_NN_2011-Tay nguyen-9-10" xfId="405"/>
    <cellStyle name="_Ung von nam 2011 vung TNB - Doan Cong tac (12-5-2010)_Cong trinh co y kien LD_Dang_NN_2011-Tay nguyen-9-10_131114- Bieu giao du toan CTMTQG 2014 giao" xfId="406"/>
    <cellStyle name="_Ung von nam 2011 vung TNB - Doan Cong tac (12-5-2010)_TN - Ho tro khac 2011" xfId="407"/>
    <cellStyle name="_Ung von nam 2011 vung TNB - Doan Cong tac (12-5-2010)_TN - Ho tro khac 2011_131114- Bieu giao du toan CTMTQG 2014 giao" xfId="408"/>
    <cellStyle name="_ÿÿÿÿÿ" xfId="409"/>
    <cellStyle name="_ÿÿÿÿÿ_131114- Bieu giao du toan CTMTQG 2014 giao" xfId="410"/>
    <cellStyle name="_ÿÿÿÿÿ_Kh ql62 (2010) 11-09" xfId="411"/>
    <cellStyle name="_ÿÿÿÿÿ_Khung 2012" xfId="412"/>
    <cellStyle name="~1" xfId="413"/>
    <cellStyle name="’Ê‰Ý [0.00]_laroux" xfId="414"/>
    <cellStyle name="’Ê‰Ý_laroux" xfId="415"/>
    <cellStyle name="•W?_Format" xfId="416"/>
    <cellStyle name="•W€_’·Šú‰p•¶" xfId="417"/>
    <cellStyle name="•W_’·Šú‰p•¶" xfId="418"/>
    <cellStyle name="W_MARINE" xfId="419"/>
    <cellStyle name="0" xfId="420"/>
    <cellStyle name="0.0" xfId="421"/>
    <cellStyle name="0.00" xfId="422"/>
    <cellStyle name="1" xfId="423"/>
    <cellStyle name="1 2" xfId="424"/>
    <cellStyle name="1_2. Du toan dieu chinh 2016 xã phường 09-11" xfId="425"/>
    <cellStyle name="1_2-Ha GiangBB2011-V1" xfId="426"/>
    <cellStyle name="1_50-BB Vung tau 2011" xfId="427"/>
    <cellStyle name="1_52-Long An2011.BB-V1" xfId="428"/>
    <cellStyle name="1_63- Ca Mau" xfId="429"/>
    <cellStyle name="1_63. Ca Mau Du toan 2013" xfId="430"/>
    <cellStyle name="1_BAO GIA NGAY 24-10-08 (co dam)" xfId="431"/>
    <cellStyle name="1_Bieu dieu chinh NS nam 2015 da sua - Chuan" xfId="432"/>
    <cellStyle name="1_Book1" xfId="433"/>
    <cellStyle name="1_Book1_1" xfId="434"/>
    <cellStyle name="1_Book1_1_131114- Bieu giao du toan CTMTQG 2014 giao" xfId="435"/>
    <cellStyle name="1_Cau thuy dien Ban La (Cu Anh)" xfId="436"/>
    <cellStyle name="1_Cau thuy dien Ban La (Cu Anh)_131114- Bieu giao du toan CTMTQG 2014 giao" xfId="437"/>
    <cellStyle name="1_Cong trinh co y kien LD_Dang_NN_2011-Tay nguyen-9-10" xfId="438"/>
    <cellStyle name="1_DT 2010-Dong  Nai-V2" xfId="439"/>
    <cellStyle name="1_Dtdchinh2397" xfId="440"/>
    <cellStyle name="1_Du toan 558 (Km17+508.12 - Km 22)" xfId="441"/>
    <cellStyle name="1_Du toan 558 (Km17+508.12 - Km 22)_131114- Bieu giao du toan CTMTQG 2014 giao" xfId="442"/>
    <cellStyle name="1_Dutoan(SGTL)" xfId="443"/>
    <cellStyle name="1_Gia_VLQL48_duyet " xfId="444"/>
    <cellStyle name="1_Gia_VLQL48_duyet _131114- Bieu giao du toan CTMTQG 2014 giao" xfId="445"/>
    <cellStyle name="1_Hai Duong2010-PA294.700" xfId="446"/>
    <cellStyle name="1_Hai Duong2010-V1-Dukienlai" xfId="447"/>
    <cellStyle name="1_KlQdinhduyet" xfId="450"/>
    <cellStyle name="1_KlQdinhduyet_131114- Bieu giao du toan CTMTQG 2014 giao" xfId="451"/>
    <cellStyle name="1_Kh ql62 (2010) 11-09" xfId="448"/>
    <cellStyle name="1_Khung 2012" xfId="449"/>
    <cellStyle name="1_TN - Ho tro khac 2011" xfId="452"/>
    <cellStyle name="1_TRUNG PMU 5" xfId="453"/>
    <cellStyle name="1_Vinh Phuc2010-V1" xfId="454"/>
    <cellStyle name="1_ÿÿÿÿÿ" xfId="455"/>
    <cellStyle name="1_ÿÿÿÿÿ_Bieu tong hop nhu cau ung 2011 da chon loc -Mien nui" xfId="456"/>
    <cellStyle name="1_ÿÿÿÿÿ_Kh ql62 (2010) 11-09" xfId="457"/>
    <cellStyle name="1_ÿÿÿÿÿ_Khung 2012" xfId="458"/>
    <cellStyle name="18" xfId="459"/>
    <cellStyle name="¹éºÐÀ²_      " xfId="460"/>
    <cellStyle name="2" xfId="461"/>
    <cellStyle name="2 2" xfId="462"/>
    <cellStyle name="2_2. Du toan dieu chinh 2016 xã phường 09-11" xfId="463"/>
    <cellStyle name="2_Bieu dieu chinh NS nam 2015 da sua - Chuan" xfId="464"/>
    <cellStyle name="2_Book1" xfId="465"/>
    <cellStyle name="2_Book1_1" xfId="466"/>
    <cellStyle name="2_Book1_1_131114- Bieu giao du toan CTMTQG 2014 giao" xfId="467"/>
    <cellStyle name="2_Cau thuy dien Ban La (Cu Anh)" xfId="468"/>
    <cellStyle name="2_Cau thuy dien Ban La (Cu Anh)_131114- Bieu giao du toan CTMTQG 2014 giao" xfId="469"/>
    <cellStyle name="2_Dtdchinh2397" xfId="470"/>
    <cellStyle name="2_Du toan 558 (Km17+508.12 - Km 22)" xfId="471"/>
    <cellStyle name="2_Du toan 558 (Km17+508.12 - Km 22)_131114- Bieu giao du toan CTMTQG 2014 giao" xfId="472"/>
    <cellStyle name="2_Dutoan(SGTL)" xfId="473"/>
    <cellStyle name="2_Gia_VLQL48_duyet " xfId="474"/>
    <cellStyle name="2_Gia_VLQL48_duyet _131114- Bieu giao du toan CTMTQG 2014 giao" xfId="475"/>
    <cellStyle name="2_KlQdinhduyet" xfId="476"/>
    <cellStyle name="2_KlQdinhduyet_131114- Bieu giao du toan CTMTQG 2014 giao" xfId="477"/>
    <cellStyle name="2_TRUNG PMU 5" xfId="478"/>
    <cellStyle name="2_ÿÿÿÿÿ" xfId="479"/>
    <cellStyle name="2_ÿÿÿÿÿ_Bieu tong hop nhu cau ung 2011 da chon loc -Mien nui" xfId="480"/>
    <cellStyle name="20" xfId="481"/>
    <cellStyle name="20 2" xfId="482"/>
    <cellStyle name="20% - Accent1 2" xfId="483"/>
    <cellStyle name="20% - Accent1 3" xfId="484"/>
    <cellStyle name="20% - Accent1 3 2" xfId="485"/>
    <cellStyle name="20% - Accent1 4" xfId="486"/>
    <cellStyle name="20% - Accent2 2" xfId="487"/>
    <cellStyle name="20% - Accent2 3" xfId="488"/>
    <cellStyle name="20% - Accent2 3 2" xfId="489"/>
    <cellStyle name="20% - Accent2 4" xfId="490"/>
    <cellStyle name="20% - Accent3 2" xfId="491"/>
    <cellStyle name="20% - Accent3 3" xfId="492"/>
    <cellStyle name="20% - Accent3 3 2" xfId="493"/>
    <cellStyle name="20% - Accent3 4" xfId="494"/>
    <cellStyle name="20% - Accent4 2" xfId="495"/>
    <cellStyle name="20% - Accent4 3" xfId="496"/>
    <cellStyle name="20% - Accent4 3 2" xfId="497"/>
    <cellStyle name="20% - Accent4 4" xfId="498"/>
    <cellStyle name="20% - Accent5 2" xfId="499"/>
    <cellStyle name="20% - Accent5 3" xfId="500"/>
    <cellStyle name="20% - Accent5 3 2" xfId="501"/>
    <cellStyle name="20% - Accent5 4" xfId="502"/>
    <cellStyle name="20% - Accent6 2" xfId="503"/>
    <cellStyle name="20% - Accent6 3" xfId="504"/>
    <cellStyle name="20% - Accent6 3 2" xfId="505"/>
    <cellStyle name="20% - Accent6 4" xfId="506"/>
    <cellStyle name="20% - Nhấn1 2" xfId="507"/>
    <cellStyle name="20% - Nhấn2 2" xfId="508"/>
    <cellStyle name="20% - Nhấn3 2" xfId="509"/>
    <cellStyle name="20% - Nhấn4 2" xfId="510"/>
    <cellStyle name="20% - Nhấn5 2" xfId="511"/>
    <cellStyle name="20% - Nhấn6 2" xfId="512"/>
    <cellStyle name="-2001" xfId="513"/>
    <cellStyle name="3" xfId="514"/>
    <cellStyle name="3 2" xfId="515"/>
    <cellStyle name="3_2. Du toan dieu chinh 2016 xã phường 09-11" xfId="516"/>
    <cellStyle name="3_Bieu dieu chinh NS nam 2015 da sua - Chuan" xfId="517"/>
    <cellStyle name="3_Book1" xfId="518"/>
    <cellStyle name="3_Book1_1" xfId="519"/>
    <cellStyle name="3_Book1_1_131114- Bieu giao du toan CTMTQG 2014 giao" xfId="520"/>
    <cellStyle name="3_Cau thuy dien Ban La (Cu Anh)" xfId="521"/>
    <cellStyle name="3_Cau thuy dien Ban La (Cu Anh)_131114- Bieu giao du toan CTMTQG 2014 giao" xfId="522"/>
    <cellStyle name="3_Dtdchinh2397" xfId="523"/>
    <cellStyle name="3_Du toan 558 (Km17+508.12 - Km 22)" xfId="524"/>
    <cellStyle name="3_Du toan 558 (Km17+508.12 - Km 22)_131114- Bieu giao du toan CTMTQG 2014 giao" xfId="525"/>
    <cellStyle name="3_Dutoan(SGTL)" xfId="526"/>
    <cellStyle name="3_Gia_VLQL48_duyet " xfId="527"/>
    <cellStyle name="3_Gia_VLQL48_duyet _131114- Bieu giao du toan CTMTQG 2014 giao" xfId="528"/>
    <cellStyle name="3_KlQdinhduyet" xfId="529"/>
    <cellStyle name="3_KlQdinhduyet_131114- Bieu giao du toan CTMTQG 2014 giao" xfId="530"/>
    <cellStyle name="3_ÿÿÿÿÿ" xfId="531"/>
    <cellStyle name="4" xfId="532"/>
    <cellStyle name="4 2" xfId="533"/>
    <cellStyle name="4_2. Du toan dieu chinh 2016 xã phường 09-11" xfId="534"/>
    <cellStyle name="4_Bieu dieu chinh NS nam 2015 da sua - Chuan" xfId="535"/>
    <cellStyle name="4_Book1" xfId="536"/>
    <cellStyle name="4_Book1_1" xfId="537"/>
    <cellStyle name="4_Book1_1_131114- Bieu giao du toan CTMTQG 2014 giao" xfId="538"/>
    <cellStyle name="4_Cau thuy dien Ban La (Cu Anh)" xfId="539"/>
    <cellStyle name="4_Cau thuy dien Ban La (Cu Anh)_131114- Bieu giao du toan CTMTQG 2014 giao" xfId="540"/>
    <cellStyle name="4_Dtdchinh2397" xfId="541"/>
    <cellStyle name="4_Du toan 558 (Km17+508.12 - Km 22)" xfId="542"/>
    <cellStyle name="4_Du toan 558 (Km17+508.12 - Km 22)_131114- Bieu giao du toan CTMTQG 2014 giao" xfId="543"/>
    <cellStyle name="4_Dutoan(SGTL)" xfId="544"/>
    <cellStyle name="4_Gia_VLQL48_duyet " xfId="545"/>
    <cellStyle name="4_Gia_VLQL48_duyet _131114- Bieu giao du toan CTMTQG 2014 giao" xfId="546"/>
    <cellStyle name="4_KlQdinhduyet" xfId="547"/>
    <cellStyle name="4_KlQdinhduyet_131114- Bieu giao du toan CTMTQG 2014 giao" xfId="548"/>
    <cellStyle name="4_ÿÿÿÿÿ" xfId="549"/>
    <cellStyle name="40% - Accent1 2" xfId="550"/>
    <cellStyle name="40% - Accent1 3" xfId="551"/>
    <cellStyle name="40% - Accent1 4" xfId="552"/>
    <cellStyle name="40% - Accent2 2" xfId="553"/>
    <cellStyle name="40% - Accent2 3" xfId="554"/>
    <cellStyle name="40% - Accent2 3 2" xfId="555"/>
    <cellStyle name="40% - Accent2 4" xfId="556"/>
    <cellStyle name="40% - Accent3 2" xfId="557"/>
    <cellStyle name="40% - Accent3 3" xfId="558"/>
    <cellStyle name="40% - Accent3 3 2" xfId="559"/>
    <cellStyle name="40% - Accent3 4" xfId="560"/>
    <cellStyle name="40% - Accent4 2" xfId="561"/>
    <cellStyle name="40% - Accent4 3" xfId="562"/>
    <cellStyle name="40% - Accent4 3 2" xfId="563"/>
    <cellStyle name="40% - Accent4 4" xfId="564"/>
    <cellStyle name="40% - Accent5 2" xfId="565"/>
    <cellStyle name="40% - Accent5 3" xfId="566"/>
    <cellStyle name="40% - Accent5 4" xfId="567"/>
    <cellStyle name="40% - Accent6 2" xfId="568"/>
    <cellStyle name="40% - Accent6 3" xfId="569"/>
    <cellStyle name="40% - Accent6 3 2" xfId="570"/>
    <cellStyle name="40% - Accent6 4" xfId="571"/>
    <cellStyle name="40% - Nhấn1 2" xfId="572"/>
    <cellStyle name="40% - Nhấn2 2" xfId="573"/>
    <cellStyle name="40% - Nhấn3 2" xfId="574"/>
    <cellStyle name="40% - Nhấn4 2" xfId="575"/>
    <cellStyle name="40% - Nhấn5 2" xfId="576"/>
    <cellStyle name="40% - Nhấn6 2" xfId="577"/>
    <cellStyle name="52" xfId="578"/>
    <cellStyle name="6" xfId="579"/>
    <cellStyle name="6 2" xfId="580"/>
    <cellStyle name="6 3" xfId="581"/>
    <cellStyle name="6_131114- Bieu giao du toan CTMTQG 2014 giao" xfId="582"/>
    <cellStyle name="6_Book1" xfId="583"/>
    <cellStyle name="6_Cong trinh co y kien LD_Dang_NN_2011-Tay nguyen-9-10" xfId="584"/>
    <cellStyle name="6_Cong trinh co y kien LD_Dang_NN_2011-Tay nguyen-9-10_131114- Bieu giao du toan CTMTQG 2014 giao" xfId="585"/>
    <cellStyle name="6_KHKT_tong_quat_BK_(Pb_20.3)(1) (1)" xfId="586"/>
    <cellStyle name="6_PL 2 (Nhan su)" xfId="587"/>
    <cellStyle name="6_PL1 " xfId="588"/>
    <cellStyle name="6_TABMIS 16.12.10" xfId="589"/>
    <cellStyle name="6_TABMIS chuyen nguon" xfId="590"/>
    <cellStyle name="6_TINH HNH DOANH NGHIEP GUI KIEM TOAN" xfId="591"/>
    <cellStyle name="6_TN - Ho tro khac 2011" xfId="592"/>
    <cellStyle name="6_TN - Ho tro khac 2011_131114- Bieu giao du toan CTMTQG 2014 giao" xfId="593"/>
    <cellStyle name="6_" xfId="594"/>
    <cellStyle name="60% - Accent1 2" xfId="595"/>
    <cellStyle name="60% - Accent1 3" xfId="596"/>
    <cellStyle name="60% - Accent1 3 2" xfId="597"/>
    <cellStyle name="60% - Accent1 4" xfId="598"/>
    <cellStyle name="60% - Accent2 2" xfId="599"/>
    <cellStyle name="60% - Accent2 3" xfId="600"/>
    <cellStyle name="60% - Accent2 3 2" xfId="601"/>
    <cellStyle name="60% - Accent2 4" xfId="602"/>
    <cellStyle name="60% - Accent3 2" xfId="603"/>
    <cellStyle name="60% - Accent3 3" xfId="604"/>
    <cellStyle name="60% - Accent3 3 2" xfId="605"/>
    <cellStyle name="60% - Accent3 4" xfId="606"/>
    <cellStyle name="60% - Accent4 2" xfId="607"/>
    <cellStyle name="60% - Accent4 3" xfId="608"/>
    <cellStyle name="60% - Accent4 3 2" xfId="609"/>
    <cellStyle name="60% - Accent4 4" xfId="610"/>
    <cellStyle name="60% - Accent5 2" xfId="611"/>
    <cellStyle name="60% - Accent5 3" xfId="612"/>
    <cellStyle name="60% - Accent5 4" xfId="613"/>
    <cellStyle name="60% - Accent6 2" xfId="614"/>
    <cellStyle name="60% - Accent6 3" xfId="615"/>
    <cellStyle name="60% - Accent6 3 2" xfId="616"/>
    <cellStyle name="60% - Accent6 4" xfId="617"/>
    <cellStyle name="9" xfId="618"/>
    <cellStyle name="9_131114- Bieu giao du toan CTMTQG 2014 giao" xfId="619"/>
    <cellStyle name="a" xfId="620"/>
    <cellStyle name="Accent1 2" xfId="621"/>
    <cellStyle name="Accent1 3" xfId="622"/>
    <cellStyle name="Accent1 3 2" xfId="623"/>
    <cellStyle name="Accent1 4" xfId="624"/>
    <cellStyle name="Accent2 2" xfId="625"/>
    <cellStyle name="Accent2 3" xfId="626"/>
    <cellStyle name="Accent2 3 2" xfId="627"/>
    <cellStyle name="Accent2 4" xfId="628"/>
    <cellStyle name="Accent3 2" xfId="629"/>
    <cellStyle name="Accent3 3" xfId="630"/>
    <cellStyle name="Accent3 3 2" xfId="631"/>
    <cellStyle name="Accent3 4" xfId="632"/>
    <cellStyle name="Accent4 2" xfId="633"/>
    <cellStyle name="Accent4 3" xfId="634"/>
    <cellStyle name="Accent4 3 2" xfId="635"/>
    <cellStyle name="Accent4 4" xfId="636"/>
    <cellStyle name="Accent5 2" xfId="637"/>
    <cellStyle name="Accent5 3" xfId="638"/>
    <cellStyle name="Accent5 3 2" xfId="639"/>
    <cellStyle name="Accent5 4" xfId="640"/>
    <cellStyle name="Accent6 2" xfId="641"/>
    <cellStyle name="Accent6 3" xfId="642"/>
    <cellStyle name="Accent6 3 2" xfId="643"/>
    <cellStyle name="Accent6 4" xfId="644"/>
    <cellStyle name="ÅëÈ­ [0]_      " xfId="645"/>
    <cellStyle name="AeE­ [0]_INQUIRY ¿?¾÷AßAø " xfId="646"/>
    <cellStyle name="ÅëÈ­ [0]_L601CPT" xfId="647"/>
    <cellStyle name="ÅëÈ­_      " xfId="648"/>
    <cellStyle name="AeE­_INQUIRY ¿?¾÷AßAø " xfId="649"/>
    <cellStyle name="ÅëÈ­_L601CPT" xfId="650"/>
    <cellStyle name="args.style" xfId="651"/>
    <cellStyle name="at" xfId="652"/>
    <cellStyle name="ÄÞ¸¶ [0]_      " xfId="653"/>
    <cellStyle name="AÞ¸¶ [0]_INQUIRY ¿?¾÷AßAø " xfId="654"/>
    <cellStyle name="ÄÞ¸¶ [0]_L601CPT" xfId="655"/>
    <cellStyle name="ÄÞ¸¶_      " xfId="656"/>
    <cellStyle name="AÞ¸¶_INQUIRY ¿?¾÷AßAø " xfId="657"/>
    <cellStyle name="ÄÞ¸¶_L601CPT" xfId="658"/>
    <cellStyle name="AutoFormat Options" xfId="659"/>
    <cellStyle name="Bad 2" xfId="660"/>
    <cellStyle name="Bad 3" xfId="661"/>
    <cellStyle name="Bad 4" xfId="662"/>
    <cellStyle name="BILL제목" xfId="663"/>
    <cellStyle name="Bình thường 2" xfId="21"/>
    <cellStyle name="Bình thường 2 2" xfId="39"/>
    <cellStyle name="Bình thường 2 3" xfId="664"/>
    <cellStyle name="Bình thường 3" xfId="665"/>
    <cellStyle name="Bình thường 4" xfId="666"/>
    <cellStyle name="Bình thường 5" xfId="667"/>
    <cellStyle name="Bình thường 6" xfId="46"/>
    <cellStyle name="Body" xfId="668"/>
    <cellStyle name="C?AØ_¿?¾÷CoE² " xfId="669"/>
    <cellStyle name="C~1" xfId="670"/>
    <cellStyle name="Ç¥ÁØ_      " xfId="671"/>
    <cellStyle name="C￥AØ_¿μ¾÷CoE² " xfId="672"/>
    <cellStyle name="Ç¥ÁØ_±¸¹Ì´ëÃ¥" xfId="673"/>
    <cellStyle name="C￥AØ_≫c¾÷ºIº° AN°e " xfId="674"/>
    <cellStyle name="Ç¥ÁØ_°èÈ¹" xfId="675"/>
    <cellStyle name="C￥AØ_Sheet1_¿μ¾÷CoE² " xfId="676"/>
    <cellStyle name="Ç¥ÁØ_ÿÿÿÿÿÿ_4_ÃÑÇÕ°è " xfId="677"/>
    <cellStyle name="Calc Currency (0)" xfId="678"/>
    <cellStyle name="Calc Currency (0) 2" xfId="679"/>
    <cellStyle name="Calc Currency (2)" xfId="680"/>
    <cellStyle name="Calc Percent (0)" xfId="681"/>
    <cellStyle name="Calc Percent (1)" xfId="682"/>
    <cellStyle name="Calc Percent (1) 2" xfId="683"/>
    <cellStyle name="Calc Percent (1) 3" xfId="684"/>
    <cellStyle name="Calc Percent (2)" xfId="685"/>
    <cellStyle name="Calc Percent (2) 2" xfId="686"/>
    <cellStyle name="Calc Percent (2) 3" xfId="687"/>
    <cellStyle name="Calc Units (0)" xfId="688"/>
    <cellStyle name="Calc Units (0) 2" xfId="689"/>
    <cellStyle name="Calc Units (0) 3" xfId="690"/>
    <cellStyle name="Calc Units (1)" xfId="691"/>
    <cellStyle name="Calc Units (1) 2" xfId="692"/>
    <cellStyle name="Calc Units (1) 3" xfId="693"/>
    <cellStyle name="Calc Units (2)" xfId="694"/>
    <cellStyle name="Calculation 2" xfId="695"/>
    <cellStyle name="Calculation 3" xfId="696"/>
    <cellStyle name="Calculation 4" xfId="697"/>
    <cellStyle name="category" xfId="698"/>
    <cellStyle name="CC1" xfId="699"/>
    <cellStyle name="CC2" xfId="700"/>
    <cellStyle name="Cerrency_Sheet2_XANGDAU" xfId="701"/>
    <cellStyle name="Comma" xfId="2" builtinId="3"/>
    <cellStyle name="Comma  - Style1" xfId="713"/>
    <cellStyle name="Comma  - Style1 2" xfId="714"/>
    <cellStyle name="Comma  - Style1 3" xfId="715"/>
    <cellStyle name="Comma  - Style2" xfId="716"/>
    <cellStyle name="Comma  - Style2 2" xfId="717"/>
    <cellStyle name="Comma  - Style2 3" xfId="718"/>
    <cellStyle name="Comma  - Style3" xfId="719"/>
    <cellStyle name="Comma  - Style3 2" xfId="720"/>
    <cellStyle name="Comma  - Style3 3" xfId="721"/>
    <cellStyle name="Comma  - Style4" xfId="722"/>
    <cellStyle name="Comma  - Style4 2" xfId="723"/>
    <cellStyle name="Comma  - Style4 3" xfId="724"/>
    <cellStyle name="Comma  - Style5" xfId="725"/>
    <cellStyle name="Comma  - Style5 2" xfId="726"/>
    <cellStyle name="Comma  - Style5 3" xfId="727"/>
    <cellStyle name="Comma  - Style6" xfId="728"/>
    <cellStyle name="Comma  - Style6 2" xfId="729"/>
    <cellStyle name="Comma  - Style6 3" xfId="730"/>
    <cellStyle name="Comma  - Style7" xfId="731"/>
    <cellStyle name="Comma  - Style7 2" xfId="732"/>
    <cellStyle name="Comma  - Style7 3" xfId="733"/>
    <cellStyle name="Comma  - Style8" xfId="734"/>
    <cellStyle name="Comma  - Style8 2" xfId="735"/>
    <cellStyle name="Comma  - Style8 3" xfId="736"/>
    <cellStyle name="Comma [0] 2" xfId="22"/>
    <cellStyle name="Comma [0] 2 2" xfId="11"/>
    <cellStyle name="Comma [0] 2 2 2" xfId="738"/>
    <cellStyle name="Comma [0] 2 3" xfId="739"/>
    <cellStyle name="Comma [0] 2 4" xfId="740"/>
    <cellStyle name="Comma [0] 2 5" xfId="737"/>
    <cellStyle name="Comma [0] 23" xfId="741"/>
    <cellStyle name="Comma [0] 24" xfId="742"/>
    <cellStyle name="Comma [0] 24 2" xfId="743"/>
    <cellStyle name="Comma [0] 25" xfId="744"/>
    <cellStyle name="Comma [0] 26" xfId="745"/>
    <cellStyle name="Comma [0] 26 2" xfId="746"/>
    <cellStyle name="Comma [0] 3" xfId="23"/>
    <cellStyle name="Comma [0] 3 2" xfId="748"/>
    <cellStyle name="Comma [0] 3 3" xfId="749"/>
    <cellStyle name="Comma [0] 3 4" xfId="747"/>
    <cellStyle name="Comma [0] 4" xfId="750"/>
    <cellStyle name="Comma [0] 5" xfId="751"/>
    <cellStyle name="Comma [0] 6" xfId="752"/>
    <cellStyle name="Comma [00]" xfId="753"/>
    <cellStyle name="Comma [00] 2" xfId="754"/>
    <cellStyle name="Comma [00] 3" xfId="755"/>
    <cellStyle name="Comma 10" xfId="756"/>
    <cellStyle name="Comma 10 2" xfId="757"/>
    <cellStyle name="Comma 10 2 2" xfId="758"/>
    <cellStyle name="Comma 10 3" xfId="759"/>
    <cellStyle name="Comma 10 4" xfId="760"/>
    <cellStyle name="Comma 10 5" xfId="761"/>
    <cellStyle name="Comma 10 6" xfId="762"/>
    <cellStyle name="Comma 11" xfId="763"/>
    <cellStyle name="Comma 11 2" xfId="764"/>
    <cellStyle name="Comma 11 2 2" xfId="765"/>
    <cellStyle name="Comma 11 3" xfId="766"/>
    <cellStyle name="Comma 12" xfId="767"/>
    <cellStyle name="Comma 12 2" xfId="768"/>
    <cellStyle name="Comma 12 2 2" xfId="769"/>
    <cellStyle name="Comma 12 3" xfId="770"/>
    <cellStyle name="Comma 12 4" xfId="771"/>
    <cellStyle name="Comma 12_140817 20 DP" xfId="772"/>
    <cellStyle name="Comma 13" xfId="773"/>
    <cellStyle name="Comma 13 2" xfId="774"/>
    <cellStyle name="Comma 13 2 2" xfId="775"/>
    <cellStyle name="Comma 13 3" xfId="776"/>
    <cellStyle name="Comma 13 4" xfId="777"/>
    <cellStyle name="Comma 14" xfId="778"/>
    <cellStyle name="Comma 14 2" xfId="779"/>
    <cellStyle name="Comma 14 2 2" xfId="780"/>
    <cellStyle name="Comma 14 3" xfId="781"/>
    <cellStyle name="Comma 14 4" xfId="782"/>
    <cellStyle name="Comma 15" xfId="783"/>
    <cellStyle name="Comma 15 2" xfId="784"/>
    <cellStyle name="Comma 16" xfId="785"/>
    <cellStyle name="Comma 16 2" xfId="786"/>
    <cellStyle name="Comma 16 2 2" xfId="787"/>
    <cellStyle name="Comma 16 3" xfId="788"/>
    <cellStyle name="Comma 16 4" xfId="789"/>
    <cellStyle name="Comma 17" xfId="790"/>
    <cellStyle name="Comma 17 2" xfId="791"/>
    <cellStyle name="Comma 18" xfId="792"/>
    <cellStyle name="Comma 18 2" xfId="793"/>
    <cellStyle name="Comma 18 3" xfId="794"/>
    <cellStyle name="Comma 19" xfId="795"/>
    <cellStyle name="Comma 19 2" xfId="796"/>
    <cellStyle name="Comma 19 2 2" xfId="797"/>
    <cellStyle name="Comma 19 3" xfId="798"/>
    <cellStyle name="Comma 2" xfId="24"/>
    <cellStyle name="Comma 2 2" xfId="800"/>
    <cellStyle name="Comma 2 2 2" xfId="801"/>
    <cellStyle name="Comma 2 2 2 10" xfId="2287"/>
    <cellStyle name="Comma 2 3" xfId="43"/>
    <cellStyle name="Comma 2 3 2" xfId="803"/>
    <cellStyle name="Comma 2 3 3" xfId="804"/>
    <cellStyle name="Comma 2 3 4" xfId="802"/>
    <cellStyle name="Comma 2 4" xfId="805"/>
    <cellStyle name="Comma 2 5" xfId="806"/>
    <cellStyle name="Comma 2 6" xfId="807"/>
    <cellStyle name="Comma 2 7" xfId="808"/>
    <cellStyle name="Comma 2 8" xfId="809"/>
    <cellStyle name="Comma 2 9" xfId="799"/>
    <cellStyle name="Comma 2_131021 TDT VON DAU TU 2014 (CT MTQG) GUI TONG HOP" xfId="810"/>
    <cellStyle name="Comma 20" xfId="811"/>
    <cellStyle name="Comma 20 2" xfId="812"/>
    <cellStyle name="Comma 20 3" xfId="813"/>
    <cellStyle name="Comma 21" xfId="814"/>
    <cellStyle name="Comma 21 2" xfId="815"/>
    <cellStyle name="Comma 21 3" xfId="816"/>
    <cellStyle name="Comma 22" xfId="817"/>
    <cellStyle name="Comma 22 2" xfId="818"/>
    <cellStyle name="Comma 23" xfId="819"/>
    <cellStyle name="Comma 24" xfId="820"/>
    <cellStyle name="Comma 25" xfId="821"/>
    <cellStyle name="Comma 26" xfId="822"/>
    <cellStyle name="Comma 27" xfId="823"/>
    <cellStyle name="Comma 28" xfId="824"/>
    <cellStyle name="Comma 29" xfId="825"/>
    <cellStyle name="Comma 3" xfId="20"/>
    <cellStyle name="Comma 3 2" xfId="25"/>
    <cellStyle name="Comma 3 2 2" xfId="828"/>
    <cellStyle name="Comma 3 2 2 2" xfId="829"/>
    <cellStyle name="Comma 3 2 3" xfId="830"/>
    <cellStyle name="Comma 3 2 4" xfId="827"/>
    <cellStyle name="Comma 3 3" xfId="831"/>
    <cellStyle name="Comma 3 3 2" xfId="832"/>
    <cellStyle name="Comma 3 4" xfId="833"/>
    <cellStyle name="Comma 3 5" xfId="826"/>
    <cellStyle name="Comma 3_Quyết toán vốn NSTP 2017 - Gửi chị Huyền" xfId="834"/>
    <cellStyle name="Comma 30" xfId="835"/>
    <cellStyle name="Comma 31" xfId="836"/>
    <cellStyle name="Comma 32" xfId="837"/>
    <cellStyle name="Comma 33" xfId="838"/>
    <cellStyle name="Comma 34" xfId="839"/>
    <cellStyle name="Comma 35" xfId="840"/>
    <cellStyle name="Comma 36" xfId="841"/>
    <cellStyle name="Comma 37" xfId="842"/>
    <cellStyle name="Comma 38" xfId="843"/>
    <cellStyle name="Comma 39" xfId="844"/>
    <cellStyle name="Comma 4" xfId="26"/>
    <cellStyle name="Comma 4 2" xfId="846"/>
    <cellStyle name="Comma 4 2 2" xfId="847"/>
    <cellStyle name="Comma 4 3" xfId="848"/>
    <cellStyle name="Comma 4 4" xfId="849"/>
    <cellStyle name="Comma 4 5" xfId="850"/>
    <cellStyle name="Comma 4 6" xfId="845"/>
    <cellStyle name="Comma 40" xfId="851"/>
    <cellStyle name="Comma 41" xfId="852"/>
    <cellStyle name="Comma 42" xfId="853"/>
    <cellStyle name="Comma 43" xfId="854"/>
    <cellStyle name="Comma 44" xfId="855"/>
    <cellStyle name="Comma 45" xfId="856"/>
    <cellStyle name="Comma 46" xfId="857"/>
    <cellStyle name="Comma 47" xfId="858"/>
    <cellStyle name="Comma 48" xfId="859"/>
    <cellStyle name="Comma 49" xfId="860"/>
    <cellStyle name="Comma 49 2" xfId="861"/>
    <cellStyle name="Comma 5" xfId="27"/>
    <cellStyle name="Comma 5 2" xfId="863"/>
    <cellStyle name="Comma 5 3" xfId="864"/>
    <cellStyle name="Comma 5 4" xfId="865"/>
    <cellStyle name="Comma 5 5" xfId="862"/>
    <cellStyle name="Comma 50" xfId="866"/>
    <cellStyle name="Comma 51" xfId="867"/>
    <cellStyle name="Comma 52" xfId="868"/>
    <cellStyle name="Comma 53" xfId="869"/>
    <cellStyle name="Comma 54" xfId="870"/>
    <cellStyle name="Comma 55" xfId="871"/>
    <cellStyle name="Comma 6" xfId="28"/>
    <cellStyle name="Comma 6 2" xfId="873"/>
    <cellStyle name="Comma 6 2 2" xfId="874"/>
    <cellStyle name="Comma 6 3" xfId="875"/>
    <cellStyle name="Comma 6 4" xfId="876"/>
    <cellStyle name="Comma 6 5" xfId="877"/>
    <cellStyle name="Comma 6 6" xfId="872"/>
    <cellStyle name="Comma 7" xfId="878"/>
    <cellStyle name="Comma 7 2" xfId="879"/>
    <cellStyle name="Comma 7 2 2" xfId="880"/>
    <cellStyle name="Comma 7 3" xfId="881"/>
    <cellStyle name="Comma 7 4" xfId="882"/>
    <cellStyle name="Comma 7 5" xfId="883"/>
    <cellStyle name="Comma 7_10 QLDT" xfId="884"/>
    <cellStyle name="Comma 8" xfId="885"/>
    <cellStyle name="Comma 8 2" xfId="886"/>
    <cellStyle name="Comma 8 2 2" xfId="887"/>
    <cellStyle name="Comma 8 2 3" xfId="888"/>
    <cellStyle name="Comma 8 3" xfId="889"/>
    <cellStyle name="Comma 8 3 2" xfId="890"/>
    <cellStyle name="Comma 8 4" xfId="891"/>
    <cellStyle name="Comma 8 5" xfId="892"/>
    <cellStyle name="Comma 9" xfId="16"/>
    <cellStyle name="Comma 9 2" xfId="894"/>
    <cellStyle name="Comma 9 2 2" xfId="895"/>
    <cellStyle name="Comma 9 2 3" xfId="896"/>
    <cellStyle name="Comma 9 3" xfId="897"/>
    <cellStyle name="Comma 9 4" xfId="898"/>
    <cellStyle name="Comma 9 5" xfId="899"/>
    <cellStyle name="Comma 9 6" xfId="893"/>
    <cellStyle name="Comma 9_Quyết toán vốn NSTP 2017 - Gửi chị Huyền" xfId="900"/>
    <cellStyle name="comma zerodec" xfId="901"/>
    <cellStyle name="comma zerodec 2" xfId="902"/>
    <cellStyle name="Comma0" xfId="903"/>
    <cellStyle name="cong" xfId="904"/>
    <cellStyle name="Copied" xfId="905"/>
    <cellStyle name="Co聭ma_Sheet1" xfId="906"/>
    <cellStyle name="Cࡵrrency_Sheet1_PRODUCTĠ" xfId="907"/>
    <cellStyle name="CT1" xfId="908"/>
    <cellStyle name="CT1 2" xfId="909"/>
    <cellStyle name="CT2" xfId="910"/>
    <cellStyle name="CT2 2" xfId="911"/>
    <cellStyle name="CT4" xfId="912"/>
    <cellStyle name="CT4 2" xfId="913"/>
    <cellStyle name="CT5" xfId="914"/>
    <cellStyle name="CT5 2" xfId="915"/>
    <cellStyle name="ct7" xfId="916"/>
    <cellStyle name="ct7 2" xfId="917"/>
    <cellStyle name="ct8" xfId="918"/>
    <cellStyle name="ct8 2" xfId="919"/>
    <cellStyle name="cth1" xfId="920"/>
    <cellStyle name="cth1 2" xfId="921"/>
    <cellStyle name="Cthuc" xfId="922"/>
    <cellStyle name="Cthuc1" xfId="923"/>
    <cellStyle name="Currency [0] 2" xfId="924"/>
    <cellStyle name="Currency [00]" xfId="925"/>
    <cellStyle name="Currency 2" xfId="926"/>
    <cellStyle name="Currency0" xfId="927"/>
    <cellStyle name="Currency1" xfId="928"/>
    <cellStyle name="Currency1 2" xfId="929"/>
    <cellStyle name="Currency1 3" xfId="930"/>
    <cellStyle name="Currency1_PL1 " xfId="931"/>
    <cellStyle name="chchuyen" xfId="702"/>
    <cellStyle name="Check Cell 2" xfId="703"/>
    <cellStyle name="Check Cell 3" xfId="704"/>
    <cellStyle name="Check Cell 4" xfId="705"/>
    <cellStyle name="Chi phÝ kh¸c_Book1" xfId="706"/>
    <cellStyle name="Chuẩn 2" xfId="1"/>
    <cellStyle name="Chuẩn 2 16" xfId="12"/>
    <cellStyle name="Chuẩn 2 2" xfId="38"/>
    <cellStyle name="Chuẩn 2 2 2" xfId="707"/>
    <cellStyle name="Chuẩn 2 3" xfId="42"/>
    <cellStyle name="Chuẩn 2 3 2" xfId="708"/>
    <cellStyle name="Chuẩn 3" xfId="709"/>
    <cellStyle name="Chuẩn 3 2" xfId="710"/>
    <cellStyle name="Chuẩn 3 3" xfId="711"/>
    <cellStyle name="Chuẩn 5 3" xfId="13"/>
    <cellStyle name="CHUONG" xfId="712"/>
    <cellStyle name="d" xfId="932"/>
    <cellStyle name="d%" xfId="933"/>
    <cellStyle name="d% 2" xfId="934"/>
    <cellStyle name="d% 3" xfId="935"/>
    <cellStyle name="d1" xfId="936"/>
    <cellStyle name="Date" xfId="937"/>
    <cellStyle name="Date 2" xfId="938"/>
    <cellStyle name="Date Short" xfId="939"/>
    <cellStyle name="Date_Book1" xfId="940"/>
    <cellStyle name="DAUDE" xfId="956"/>
    <cellStyle name="Dấu phảy [0] 2" xfId="29"/>
    <cellStyle name="Dấu phảy [0] 2 2" xfId="943"/>
    <cellStyle name="Dấu phảy [0] 2 3" xfId="944"/>
    <cellStyle name="Dấu phảy [0] 2 4" xfId="942"/>
    <cellStyle name="Dấu phảy 2" xfId="945"/>
    <cellStyle name="Dấu phảy 3" xfId="946"/>
    <cellStyle name="Dấu phảy 3 2" xfId="947"/>
    <cellStyle name="Dấu phảy 4" xfId="948"/>
    <cellStyle name="Dấu phảy 5" xfId="949"/>
    <cellStyle name="Dấu phảy 5 2" xfId="950"/>
    <cellStyle name="Dấu phảy 5 3" xfId="951"/>
    <cellStyle name="Dấu_phảy 2" xfId="941"/>
    <cellStyle name="Dezimal [0]_35ERI8T2gbIEMixb4v26icuOo" xfId="961"/>
    <cellStyle name="Dezimal_35ERI8T2gbIEMixb4v26icuOo" xfId="962"/>
    <cellStyle name="Dg" xfId="963"/>
    <cellStyle name="Dg 2" xfId="964"/>
    <cellStyle name="Dg 3" xfId="965"/>
    <cellStyle name="Dgia" xfId="966"/>
    <cellStyle name="Dgia 2" xfId="967"/>
    <cellStyle name="Dgia 3" xfId="968"/>
    <cellStyle name="Dollar (zero dec)" xfId="969"/>
    <cellStyle name="Dollar (zero dec) 2" xfId="970"/>
    <cellStyle name="Dollar (zero dec) 3" xfId="971"/>
    <cellStyle name="Dollar (zero dec)_PL1 " xfId="972"/>
    <cellStyle name="Don gia" xfId="973"/>
    <cellStyle name="Don gia 2" xfId="974"/>
    <cellStyle name="Don gia 3" xfId="975"/>
    <cellStyle name="Dziesi?tny [0]_Invoices2001Slovakia" xfId="976"/>
    <cellStyle name="Dziesi?tny_Invoices2001Slovakia" xfId="977"/>
    <cellStyle name="Dziesietny [0]_Invoices2001Slovakia" xfId="978"/>
    <cellStyle name="Dziesiętny [0]_Invoices2001Slovakia" xfId="979"/>
    <cellStyle name="Dziesietny [0]_Invoices2001Slovakia 2" xfId="980"/>
    <cellStyle name="Dziesiętny [0]_Invoices2001Slovakia_01_Nha so 1_Dien" xfId="981"/>
    <cellStyle name="Dziesietny [0]_Invoices2001Slovakia_10_Nha so 10_Dien1" xfId="982"/>
    <cellStyle name="Dziesiętny [0]_Invoices2001Slovakia_10_Nha so 10_Dien1" xfId="983"/>
    <cellStyle name="Dziesietny [0]_Invoices2001Slovakia_Book1" xfId="984"/>
    <cellStyle name="Dziesiętny [0]_Invoices2001Slovakia_Book1" xfId="985"/>
    <cellStyle name="Dziesietny [0]_Invoices2001Slovakia_Book1_1" xfId="986"/>
    <cellStyle name="Dziesiętny [0]_Invoices2001Slovakia_Book1_1" xfId="987"/>
    <cellStyle name="Dziesietny [0]_Invoices2001Slovakia_Book1_1_Book1" xfId="988"/>
    <cellStyle name="Dziesiętny [0]_Invoices2001Slovakia_Book1_1_Book1" xfId="989"/>
    <cellStyle name="Dziesietny [0]_Invoices2001Slovakia_Book1_2" xfId="990"/>
    <cellStyle name="Dziesiętny [0]_Invoices2001Slovakia_Book1_2" xfId="991"/>
    <cellStyle name="Dziesietny [0]_Invoices2001Slovakia_Book1_Nhu cau von ung truoc 2011 Tha h Hoa + Nge An gui TW" xfId="992"/>
    <cellStyle name="Dziesiętny [0]_Invoices2001Slovakia_Book1_Nhu cau von ung truoc 2011 Tha h Hoa + Nge An gui TW" xfId="993"/>
    <cellStyle name="Dziesietny [0]_Invoices2001Slovakia_Book1_Tong hop Cac tuyen(9-1-06)" xfId="994"/>
    <cellStyle name="Dziesiętny [0]_Invoices2001Slovakia_Book1_Tong hop Cac tuyen(9-1-06)" xfId="995"/>
    <cellStyle name="Dziesietny [0]_Invoices2001Slovakia_Book1_ung truoc 2011 NSTW Thanh Hoa + Nge An gui Thu 12-5" xfId="996"/>
    <cellStyle name="Dziesiętny [0]_Invoices2001Slovakia_Book1_ung truoc 2011 NSTW Thanh Hoa + Nge An gui Thu 12-5" xfId="997"/>
    <cellStyle name="Dziesietny [0]_Invoices2001Slovakia_d-uong+TDT" xfId="998"/>
    <cellStyle name="Dziesiętny [0]_Invoices2001Slovakia_Nhµ ®Ó xe" xfId="999"/>
    <cellStyle name="Dziesietny [0]_Invoices2001Slovakia_Nha bao ve(28-7-05)" xfId="1000"/>
    <cellStyle name="Dziesiętny [0]_Invoices2001Slovakia_Nha bao ve(28-7-05)" xfId="1001"/>
    <cellStyle name="Dziesietny [0]_Invoices2001Slovakia_NHA de xe nguyen du" xfId="1002"/>
    <cellStyle name="Dziesiętny [0]_Invoices2001Slovakia_NHA de xe nguyen du" xfId="1003"/>
    <cellStyle name="Dziesietny [0]_Invoices2001Slovakia_Nhalamviec VTC(25-1-05)" xfId="1004"/>
    <cellStyle name="Dziesiętny [0]_Invoices2001Slovakia_Nhalamviec VTC(25-1-05)" xfId="1005"/>
    <cellStyle name="Dziesietny [0]_Invoices2001Slovakia_Nhu cau von ung truoc 2011 Tha h Hoa + Nge An gui TW" xfId="1006"/>
    <cellStyle name="Dziesiętny [0]_Invoices2001Slovakia_TDT KHANH HOA" xfId="1007"/>
    <cellStyle name="Dziesietny [0]_Invoices2001Slovakia_TDT KHANH HOA_Tong hop Cac tuyen(9-1-06)" xfId="1008"/>
    <cellStyle name="Dziesiętny [0]_Invoices2001Slovakia_TDT KHANH HOA_Tong hop Cac tuyen(9-1-06)" xfId="1009"/>
    <cellStyle name="Dziesietny [0]_Invoices2001Slovakia_TDT quangngai" xfId="1010"/>
    <cellStyle name="Dziesiętny [0]_Invoices2001Slovakia_TDT quangngai" xfId="1011"/>
    <cellStyle name="Dziesietny [0]_Invoices2001Slovakia_TMDT(10-5-06)" xfId="1012"/>
    <cellStyle name="Dziesietny_Invoices2001Slovakia" xfId="1013"/>
    <cellStyle name="Dziesiętny_Invoices2001Slovakia" xfId="1014"/>
    <cellStyle name="Dziesietny_Invoices2001Slovakia 2" xfId="1015"/>
    <cellStyle name="Dziesiętny_Invoices2001Slovakia_01_Nha so 1_Dien" xfId="1016"/>
    <cellStyle name="Dziesietny_Invoices2001Slovakia_10_Nha so 10_Dien1" xfId="1017"/>
    <cellStyle name="Dziesiętny_Invoices2001Slovakia_10_Nha so 10_Dien1" xfId="1018"/>
    <cellStyle name="Dziesietny_Invoices2001Slovakia_Book1" xfId="1019"/>
    <cellStyle name="Dziesiętny_Invoices2001Slovakia_Book1" xfId="1020"/>
    <cellStyle name="Dziesietny_Invoices2001Slovakia_Book1_1" xfId="1021"/>
    <cellStyle name="Dziesiętny_Invoices2001Slovakia_Book1_1" xfId="1022"/>
    <cellStyle name="Dziesietny_Invoices2001Slovakia_Book1_1_Book1" xfId="1023"/>
    <cellStyle name="Dziesiętny_Invoices2001Slovakia_Book1_1_Book1" xfId="1024"/>
    <cellStyle name="Dziesietny_Invoices2001Slovakia_Book1_2" xfId="1025"/>
    <cellStyle name="Dziesiętny_Invoices2001Slovakia_Book1_2" xfId="1026"/>
    <cellStyle name="Dziesietny_Invoices2001Slovakia_Book1_Nhu cau von ung truoc 2011 Tha h Hoa + Nge An gui TW" xfId="1027"/>
    <cellStyle name="Dziesiętny_Invoices2001Slovakia_Book1_Nhu cau von ung truoc 2011 Tha h Hoa + Nge An gui TW" xfId="1028"/>
    <cellStyle name="Dziesietny_Invoices2001Slovakia_Book1_Tong hop Cac tuyen(9-1-06)" xfId="1029"/>
    <cellStyle name="Dziesiętny_Invoices2001Slovakia_Book1_Tong hop Cac tuyen(9-1-06)" xfId="1030"/>
    <cellStyle name="Dziesietny_Invoices2001Slovakia_Book1_ung truoc 2011 NSTW Thanh Hoa + Nge An gui Thu 12-5" xfId="1031"/>
    <cellStyle name="Dziesiętny_Invoices2001Slovakia_Book1_ung truoc 2011 NSTW Thanh Hoa + Nge An gui Thu 12-5" xfId="1032"/>
    <cellStyle name="Dziesietny_Invoices2001Slovakia_d-uong+TDT" xfId="1033"/>
    <cellStyle name="Dziesiętny_Invoices2001Slovakia_Nhµ ®Ó xe" xfId="1034"/>
    <cellStyle name="Dziesietny_Invoices2001Slovakia_Nha bao ve(28-7-05)" xfId="1035"/>
    <cellStyle name="Dziesiętny_Invoices2001Slovakia_Nha bao ve(28-7-05)" xfId="1036"/>
    <cellStyle name="Dziesietny_Invoices2001Slovakia_NHA de xe nguyen du" xfId="1037"/>
    <cellStyle name="Dziesiętny_Invoices2001Slovakia_NHA de xe nguyen du" xfId="1038"/>
    <cellStyle name="Dziesietny_Invoices2001Slovakia_Nhalamviec VTC(25-1-05)" xfId="1039"/>
    <cellStyle name="Dziesiętny_Invoices2001Slovakia_Nhalamviec VTC(25-1-05)" xfId="1040"/>
    <cellStyle name="Dziesietny_Invoices2001Slovakia_Nhu cau von ung truoc 2011 Tha h Hoa + Nge An gui TW" xfId="1041"/>
    <cellStyle name="Dziesiętny_Invoices2001Slovakia_TDT KHANH HOA" xfId="1042"/>
    <cellStyle name="Dziesietny_Invoices2001Slovakia_TDT KHANH HOA_Tong hop Cac tuyen(9-1-06)" xfId="1043"/>
    <cellStyle name="Dziesiętny_Invoices2001Slovakia_TDT KHANH HOA_Tong hop Cac tuyen(9-1-06)" xfId="1044"/>
    <cellStyle name="Dziesietny_Invoices2001Slovakia_TDT quangngai" xfId="1045"/>
    <cellStyle name="Dziesiętny_Invoices2001Slovakia_TDT quangngai" xfId="1046"/>
    <cellStyle name="Dziesietny_Invoices2001Slovakia_TMDT(10-5-06)" xfId="1047"/>
    <cellStyle name="Đầu ra 2" xfId="953"/>
    <cellStyle name="Đầu ra 3" xfId="952"/>
    <cellStyle name="Đầu vào 2" xfId="955"/>
    <cellStyle name="Đầu vào 3" xfId="954"/>
    <cellStyle name="Đề mục 1 2" xfId="957"/>
    <cellStyle name="Đề mục 2 2" xfId="958"/>
    <cellStyle name="Đề mục 3 2" xfId="959"/>
    <cellStyle name="Đề mục 4 2" xfId="960"/>
    <cellStyle name="e" xfId="1048"/>
    <cellStyle name="Enter Currency (0)" xfId="1049"/>
    <cellStyle name="Enter Currency (0) 2" xfId="1050"/>
    <cellStyle name="Enter Currency (0) 3" xfId="1051"/>
    <cellStyle name="Enter Currency (2)" xfId="1052"/>
    <cellStyle name="Enter Units (0)" xfId="1053"/>
    <cellStyle name="Enter Units (0) 2" xfId="1054"/>
    <cellStyle name="Enter Units (0) 3" xfId="1055"/>
    <cellStyle name="Enter Units (1)" xfId="1056"/>
    <cellStyle name="Enter Units (1) 2" xfId="1057"/>
    <cellStyle name="Enter Units (1) 3" xfId="1058"/>
    <cellStyle name="Enter Units (2)" xfId="1059"/>
    <cellStyle name="Entered" xfId="1060"/>
    <cellStyle name="Euro" xfId="1061"/>
    <cellStyle name="Explanatory Text 2" xfId="1062"/>
    <cellStyle name="Explanatory Text 3" xfId="1063"/>
    <cellStyle name="Explanatory Text 4" xfId="1064"/>
    <cellStyle name="f" xfId="1065"/>
    <cellStyle name="f_Danhmuc_Quyhoach2009 2" xfId="1066"/>
    <cellStyle name="Fixed" xfId="1067"/>
    <cellStyle name="Fixed 2" xfId="1068"/>
    <cellStyle name="Font Britannic16" xfId="1069"/>
    <cellStyle name="Font Britannic18" xfId="1070"/>
    <cellStyle name="Font CenturyCond 18" xfId="1071"/>
    <cellStyle name="Font Cond20" xfId="1072"/>
    <cellStyle name="Font LucidaSans16" xfId="1073"/>
    <cellStyle name="Font NewCenturyCond18" xfId="1074"/>
    <cellStyle name="Font Ottawa14" xfId="1075"/>
    <cellStyle name="Font Ottawa16" xfId="1076"/>
    <cellStyle name="Ghi chú 2" xfId="1078"/>
    <cellStyle name="Ghi chú 3" xfId="1077"/>
    <cellStyle name="Good 2" xfId="1080"/>
    <cellStyle name="Good 3" xfId="1081"/>
    <cellStyle name="Good 4" xfId="1082"/>
    <cellStyle name="Grey" xfId="1083"/>
    <cellStyle name="Group" xfId="1084"/>
    <cellStyle name="gia" xfId="1079"/>
    <cellStyle name="H" xfId="1085"/>
    <cellStyle name="ha" xfId="1086"/>
    <cellStyle name="HAI" xfId="1087"/>
    <cellStyle name="HAI 2" xfId="1088"/>
    <cellStyle name="HAI 3" xfId="1089"/>
    <cellStyle name="HAI 4" xfId="1090"/>
    <cellStyle name="Head 1" xfId="1091"/>
    <cellStyle name="HEADER" xfId="1092"/>
    <cellStyle name="Header1" xfId="3"/>
    <cellStyle name="Header2" xfId="4"/>
    <cellStyle name="Header2 2" xfId="1093"/>
    <cellStyle name="Heading 1 2" xfId="1094"/>
    <cellStyle name="Heading 1 2 2" xfId="1095"/>
    <cellStyle name="Heading 1 3" xfId="1096"/>
    <cellStyle name="Heading 1 4" xfId="1097"/>
    <cellStyle name="Heading 1 5" xfId="1098"/>
    <cellStyle name="Heading 2 2" xfId="1099"/>
    <cellStyle name="Heading 2 2 2" xfId="1100"/>
    <cellStyle name="Heading 2 3" xfId="1101"/>
    <cellStyle name="Heading 2 4" xfId="1102"/>
    <cellStyle name="Heading 2 5" xfId="1103"/>
    <cellStyle name="Heading 3 2" xfId="1104"/>
    <cellStyle name="Heading 3 3" xfId="1105"/>
    <cellStyle name="Heading 3 3 2" xfId="1106"/>
    <cellStyle name="Heading 3 4" xfId="1107"/>
    <cellStyle name="Heading 4 2" xfId="1108"/>
    <cellStyle name="Heading 4 3" xfId="1109"/>
    <cellStyle name="Heading 4 3 2" xfId="1110"/>
    <cellStyle name="Heading 4 4" xfId="1111"/>
    <cellStyle name="HEADING1" xfId="1112"/>
    <cellStyle name="HEADING1 2" xfId="1113"/>
    <cellStyle name="HEADING1_KHKT_tong_quat_BK_(Pb_20.3)(1) (1)" xfId="1114"/>
    <cellStyle name="HEADING2" xfId="1115"/>
    <cellStyle name="HEADING2 2" xfId="1116"/>
    <cellStyle name="HEADING2_KHKT_tong_quat_BK_(Pb_20.3)(1) (1)" xfId="1117"/>
    <cellStyle name="HEADINGS" xfId="1118"/>
    <cellStyle name="HEADINGSTOP" xfId="1119"/>
    <cellStyle name="headoption" xfId="1120"/>
    <cellStyle name="Hoa-Scholl" xfId="1121"/>
    <cellStyle name="HUY" xfId="1122"/>
    <cellStyle name="Hyperlink" xfId="10" builtinId="8"/>
    <cellStyle name="Hyperlink 2" xfId="30"/>
    <cellStyle name="i phÝ kh¸c_B¶ng 2" xfId="1123"/>
    <cellStyle name="I.3" xfId="1124"/>
    <cellStyle name="i·0" xfId="1125"/>
    <cellStyle name="ï-¾È»ê_BiÓu TB" xfId="1126"/>
    <cellStyle name="Input [yellow]" xfId="1127"/>
    <cellStyle name="Input 2" xfId="1128"/>
    <cellStyle name="Input 3" xfId="1129"/>
    <cellStyle name="Input 4" xfId="1130"/>
    <cellStyle name="Input 5" xfId="1131"/>
    <cellStyle name="Input 5 2" xfId="1132"/>
    <cellStyle name="Input 6" xfId="1133"/>
    <cellStyle name="Input 7" xfId="1134"/>
    <cellStyle name="k" xfId="1135"/>
    <cellStyle name="k_TONG HOP KINH PHI" xfId="1136"/>
    <cellStyle name="k_TONG HOP KINH PHI_131114- Bieu giao du toan CTMTQG 2014 giao" xfId="1137"/>
    <cellStyle name="k_ÿÿÿÿÿ" xfId="1138"/>
    <cellStyle name="k_ÿÿÿÿÿ_1" xfId="1139"/>
    <cellStyle name="k_ÿÿÿÿÿ_131114- Bieu giao du toan CTMTQG 2014 giao" xfId="1140"/>
    <cellStyle name="k_ÿÿÿÿÿ_2" xfId="1141"/>
    <cellStyle name="k_ÿÿÿÿÿ_2_131114- Bieu giao du toan CTMTQG 2014 giao" xfId="1142"/>
    <cellStyle name="Kiểu 1" xfId="31"/>
    <cellStyle name="kh¸c_Bang Chi tieu" xfId="1143"/>
    <cellStyle name="khanh" xfId="1144"/>
    <cellStyle name="khung" xfId="1145"/>
    <cellStyle name="Ledger 17 x 11 in" xfId="1146"/>
    <cellStyle name="Ledger 17 x 11 in 2" xfId="1147"/>
    <cellStyle name="Ledger 17 x 11 in 2 2" xfId="1148"/>
    <cellStyle name="Ledger 17 x 11 in 3" xfId="1149"/>
    <cellStyle name="Ledger 17 x 11 in 4" xfId="1150"/>
    <cellStyle name="Ledger 17 x 11 in 5" xfId="1151"/>
    <cellStyle name="Ledger 17 x 11 in 6" xfId="1152"/>
    <cellStyle name="Ledger 17 x 11 in_PB 1-2 KHKT Bac Kan" xfId="1153"/>
    <cellStyle name="left" xfId="1154"/>
    <cellStyle name="Line" xfId="1155"/>
    <cellStyle name="Link Currency (0)" xfId="1156"/>
    <cellStyle name="Link Currency (0) 2" xfId="1157"/>
    <cellStyle name="Link Currency (0) 3" xfId="1158"/>
    <cellStyle name="Link Currency (2)" xfId="1159"/>
    <cellStyle name="Link Units (0)" xfId="1160"/>
    <cellStyle name="Link Units (0) 2" xfId="1161"/>
    <cellStyle name="Link Units (0) 3" xfId="1162"/>
    <cellStyle name="Link Units (1)" xfId="1163"/>
    <cellStyle name="Link Units (1) 2" xfId="1164"/>
    <cellStyle name="Link Units (1) 3" xfId="1165"/>
    <cellStyle name="Link Units (2)" xfId="1166"/>
    <cellStyle name="Linked Cell 2" xfId="1167"/>
    <cellStyle name="Linked Cell 3" xfId="1168"/>
    <cellStyle name="Linked Cell 4" xfId="1169"/>
    <cellStyle name="Loai CBDT" xfId="1170"/>
    <cellStyle name="Loai CT" xfId="1171"/>
    <cellStyle name="Loai GD" xfId="1172"/>
    <cellStyle name="luc" xfId="1173"/>
    <cellStyle name="luc2" xfId="1174"/>
    <cellStyle name="MAU" xfId="1175"/>
    <cellStyle name="Millares [0]_Well Timing" xfId="1176"/>
    <cellStyle name="Millares_Well Timing" xfId="1177"/>
    <cellStyle name="Milliers [0]_      " xfId="1178"/>
    <cellStyle name="Milliers_      " xfId="1179"/>
    <cellStyle name="Model" xfId="1182"/>
    <cellStyle name="moi" xfId="1183"/>
    <cellStyle name="moi 2" xfId="1184"/>
    <cellStyle name="moi 3" xfId="1185"/>
    <cellStyle name="moi 4" xfId="1186"/>
    <cellStyle name="Moneda [0]_Well Timing" xfId="1187"/>
    <cellStyle name="Moneda_Well Timing" xfId="1188"/>
    <cellStyle name="Monétaire [0]_      " xfId="1189"/>
    <cellStyle name="Monétaire_      " xfId="1190"/>
    <cellStyle name="Môc" xfId="1180"/>
    <cellStyle name="Môc 2" xfId="1181"/>
    <cellStyle name="n" xfId="1191"/>
    <cellStyle name="n1" xfId="1192"/>
    <cellStyle name="Neutral 2" xfId="1193"/>
    <cellStyle name="Neutral 3" xfId="1194"/>
    <cellStyle name="Neutral 4" xfId="1195"/>
    <cellStyle name="New Times Roman" xfId="1196"/>
    <cellStyle name="New Times Roman 2" xfId="1197"/>
    <cellStyle name="no dec" xfId="1199"/>
    <cellStyle name="no dec 2" xfId="1200"/>
    <cellStyle name="ÑONVÒ" xfId="1201"/>
    <cellStyle name="Normal" xfId="0" builtinId="0"/>
    <cellStyle name="Normal - Style1" xfId="1202"/>
    <cellStyle name="Normal - Style1 2" xfId="14"/>
    <cellStyle name="Normal - Style1 2 2" xfId="1204"/>
    <cellStyle name="Normal - Style1 2 3" xfId="1203"/>
    <cellStyle name="Normal - Style1 3" xfId="1205"/>
    <cellStyle name="Normal - Style1 4" xfId="1206"/>
    <cellStyle name="Normal - Style1 5" xfId="1207"/>
    <cellStyle name="Normal - Style1_Quyết toán vốn NSTP 2017 - Gửi chị Huyền" xfId="1208"/>
    <cellStyle name="Normal - 유형1" xfId="1209"/>
    <cellStyle name="Normal 10" xfId="1210"/>
    <cellStyle name="Normal 10 2" xfId="1211"/>
    <cellStyle name="Normal 10 2 2" xfId="1212"/>
    <cellStyle name="Normal 10 3" xfId="1213"/>
    <cellStyle name="Normal 10 4" xfId="1214"/>
    <cellStyle name="Normal 10 5" xfId="1215"/>
    <cellStyle name="Normal 10 6" xfId="1216"/>
    <cellStyle name="Normal 108" xfId="1217"/>
    <cellStyle name="Normal 109" xfId="1218"/>
    <cellStyle name="Normal 11" xfId="5"/>
    <cellStyle name="Normal 11 2" xfId="45"/>
    <cellStyle name="Normal 11 2 2" xfId="1221"/>
    <cellStyle name="Normal 11 2 3" xfId="1222"/>
    <cellStyle name="Normal 11 2 4" xfId="1220"/>
    <cellStyle name="Normal 11 29" xfId="1223"/>
    <cellStyle name="Normal 11 3" xfId="1224"/>
    <cellStyle name="Normal 11 4" xfId="1225"/>
    <cellStyle name="Normal 11 5" xfId="1219"/>
    <cellStyle name="Normal 110" xfId="1226"/>
    <cellStyle name="Normal 111" xfId="1227"/>
    <cellStyle name="Normal 112" xfId="1228"/>
    <cellStyle name="Normal 113" xfId="1229"/>
    <cellStyle name="Normal 114" xfId="1230"/>
    <cellStyle name="Normal 115" xfId="1231"/>
    <cellStyle name="Normal 117" xfId="1232"/>
    <cellStyle name="Normal 118" xfId="1233"/>
    <cellStyle name="Normal 12" xfId="6"/>
    <cellStyle name="Normal 12 2" xfId="1235"/>
    <cellStyle name="Normal 12 2 2" xfId="1236"/>
    <cellStyle name="Normal 12 3" xfId="1237"/>
    <cellStyle name="Normal 12 4" xfId="1234"/>
    <cellStyle name="Normal 120" xfId="1238"/>
    <cellStyle name="Normal 122" xfId="1239"/>
    <cellStyle name="Normal 124" xfId="1240"/>
    <cellStyle name="Normal 126" xfId="1241"/>
    <cellStyle name="Normal 128" xfId="1242"/>
    <cellStyle name="Normal 13" xfId="1243"/>
    <cellStyle name="Normal 13 2" xfId="1244"/>
    <cellStyle name="Normal 13 3" xfId="1245"/>
    <cellStyle name="Normal 13 3 2" xfId="1246"/>
    <cellStyle name="Normal 130" xfId="1247"/>
    <cellStyle name="Normal 130 2" xfId="1248"/>
    <cellStyle name="Normal 132" xfId="1249"/>
    <cellStyle name="Normal 134" xfId="1250"/>
    <cellStyle name="Normal 136" xfId="1251"/>
    <cellStyle name="Normal 137" xfId="1252"/>
    <cellStyle name="Normal 138" xfId="1253"/>
    <cellStyle name="Normal 14" xfId="37"/>
    <cellStyle name="Normal 14 2" xfId="1254"/>
    <cellStyle name="Normal 14 2 2" xfId="1255"/>
    <cellStyle name="Normal 14 3" xfId="1256"/>
    <cellStyle name="Normal 140" xfId="1257"/>
    <cellStyle name="Normal 142" xfId="1258"/>
    <cellStyle name="Normal 144" xfId="1259"/>
    <cellStyle name="Normal 146" xfId="1260"/>
    <cellStyle name="Normal 148" xfId="1261"/>
    <cellStyle name="Normal 15" xfId="1262"/>
    <cellStyle name="Normal 15 2" xfId="1263"/>
    <cellStyle name="Normal 15 3" xfId="1264"/>
    <cellStyle name="Normal 15_quyết toán 2017-ko theo mẫu-thường vụ" xfId="1265"/>
    <cellStyle name="Normal 150" xfId="1266"/>
    <cellStyle name="Normal 152" xfId="1267"/>
    <cellStyle name="Normal 153" xfId="1268"/>
    <cellStyle name="Normal 155" xfId="1269"/>
    <cellStyle name="Normal 157" xfId="1270"/>
    <cellStyle name="Normal 159" xfId="1271"/>
    <cellStyle name="Normal 16" xfId="1272"/>
    <cellStyle name="Normal 16 2" xfId="1273"/>
    <cellStyle name="Normal 16 2 2" xfId="1274"/>
    <cellStyle name="Normal 16 3" xfId="1275"/>
    <cellStyle name="Normal 16 4" xfId="1276"/>
    <cellStyle name="Normal 16_quyết toán 2017-ko theo mẫu-thường vụ" xfId="1277"/>
    <cellStyle name="Normal 161" xfId="1278"/>
    <cellStyle name="Normal 163" xfId="1279"/>
    <cellStyle name="Normal 165" xfId="1280"/>
    <cellStyle name="Normal 166" xfId="1281"/>
    <cellStyle name="Normal 168" xfId="1282"/>
    <cellStyle name="Normal 17" xfId="1283"/>
    <cellStyle name="Normal 17 2" xfId="1284"/>
    <cellStyle name="Normal 17 2 2" xfId="1285"/>
    <cellStyle name="Normal 17 3" xfId="1286"/>
    <cellStyle name="Normal 17 4" xfId="1287"/>
    <cellStyle name="Normal 170" xfId="1288"/>
    <cellStyle name="Normal 172" xfId="1289"/>
    <cellStyle name="Normal 174" xfId="1290"/>
    <cellStyle name="Normal 176" xfId="1291"/>
    <cellStyle name="Normal 178" xfId="1292"/>
    <cellStyle name="Normal 18" xfId="1293"/>
    <cellStyle name="Normal 18 2" xfId="1294"/>
    <cellStyle name="Normal 180" xfId="1295"/>
    <cellStyle name="Normal 182" xfId="1296"/>
    <cellStyle name="Normal 184" xfId="1297"/>
    <cellStyle name="Normal 186" xfId="1298"/>
    <cellStyle name="Normal 188" xfId="1299"/>
    <cellStyle name="Normal 19" xfId="1300"/>
    <cellStyle name="Normal 19 2" xfId="1301"/>
    <cellStyle name="Normal 190" xfId="1302"/>
    <cellStyle name="Normal 192" xfId="1303"/>
    <cellStyle name="Normal 194" xfId="1304"/>
    <cellStyle name="Normal 195" xfId="1305"/>
    <cellStyle name="Normal 196" xfId="1306"/>
    <cellStyle name="Normal 198" xfId="1307"/>
    <cellStyle name="Normal 2" xfId="7"/>
    <cellStyle name="Normal 2 10" xfId="1309"/>
    <cellStyle name="Normal 2 10 2" xfId="1310"/>
    <cellStyle name="Normal 2 11" xfId="1311"/>
    <cellStyle name="Normal 2 12" xfId="1312"/>
    <cellStyle name="Normal 2 13" xfId="1308"/>
    <cellStyle name="Normal 2 2" xfId="19"/>
    <cellStyle name="Normal 2 2 10" xfId="1313"/>
    <cellStyle name="Normal 2 2 2" xfId="41"/>
    <cellStyle name="Normal 2 2 2 2" xfId="1315"/>
    <cellStyle name="Normal 2 2 2 3" xfId="1314"/>
    <cellStyle name="Normal 2 2 3" xfId="1316"/>
    <cellStyle name="Normal 2 2 3 2" xfId="1317"/>
    <cellStyle name="Normal 2 2 4" xfId="1318"/>
    <cellStyle name="Normal 2 2 5" xfId="1319"/>
    <cellStyle name="Normal 2 2 6" xfId="1320"/>
    <cellStyle name="Normal 2 2_20.Vinh Phuc" xfId="1321"/>
    <cellStyle name="Normal 2 3" xfId="32"/>
    <cellStyle name="Normal 2 3 2" xfId="1323"/>
    <cellStyle name="Normal 2 3 2 2" xfId="1324"/>
    <cellStyle name="Normal 2 3 3" xfId="1325"/>
    <cellStyle name="Normal 2 3 3 2" xfId="1326"/>
    <cellStyle name="Normal 2 3 4" xfId="1322"/>
    <cellStyle name="Normal 2 3_CTMTQG 2015" xfId="1327"/>
    <cellStyle name="Normal 2 4" xfId="17"/>
    <cellStyle name="Normal 2 4 2" xfId="1329"/>
    <cellStyle name="Normal 2 4 3" xfId="1328"/>
    <cellStyle name="Normal 2 5" xfId="1330"/>
    <cellStyle name="Normal 2 5 2" xfId="1331"/>
    <cellStyle name="Normal 2 5 2 2" xfId="1332"/>
    <cellStyle name="Normal 2 5 3" xfId="1333"/>
    <cellStyle name="Normal 2 6" xfId="1334"/>
    <cellStyle name="Normal 2 6 2" xfId="1335"/>
    <cellStyle name="Normal 2 7" xfId="1336"/>
    <cellStyle name="Normal 2 8" xfId="1337"/>
    <cellStyle name="Normal 2 9" xfId="1338"/>
    <cellStyle name="Normal 2_1- DT8a+DT8b-lam DT2014" xfId="1339"/>
    <cellStyle name="Normal 20" xfId="1340"/>
    <cellStyle name="Normal 20 2" xfId="1341"/>
    <cellStyle name="Normal 200" xfId="1342"/>
    <cellStyle name="Normal 202" xfId="1343"/>
    <cellStyle name="Normal 203" xfId="1344"/>
    <cellStyle name="Normal 205" xfId="1345"/>
    <cellStyle name="Normal 206" xfId="1346"/>
    <cellStyle name="Normal 208" xfId="1347"/>
    <cellStyle name="Normal 21" xfId="1348"/>
    <cellStyle name="Normal 21 2" xfId="1349"/>
    <cellStyle name="Normal 210" xfId="1350"/>
    <cellStyle name="Normal 212" xfId="1351"/>
    <cellStyle name="Normal 214" xfId="1352"/>
    <cellStyle name="Normal 216" xfId="1353"/>
    <cellStyle name="Normal 22" xfId="1354"/>
    <cellStyle name="Normal 22 2" xfId="1355"/>
    <cellStyle name="Normal 23" xfId="1356"/>
    <cellStyle name="Normal 23 2" xfId="1357"/>
    <cellStyle name="Normal 23 3" xfId="1358"/>
    <cellStyle name="Normal 24" xfId="1359"/>
    <cellStyle name="Normal 24 2" xfId="1360"/>
    <cellStyle name="Normal 24 3" xfId="1361"/>
    <cellStyle name="Normal 25" xfId="1362"/>
    <cellStyle name="Normal 25 2" xfId="1363"/>
    <cellStyle name="Normal 25 3" xfId="1364"/>
    <cellStyle name="Normal 26" xfId="1365"/>
    <cellStyle name="Normal 26 2" xfId="1366"/>
    <cellStyle name="Normal 26 3" xfId="1367"/>
    <cellStyle name="Normal 27" xfId="1368"/>
    <cellStyle name="Normal 27 2" xfId="1369"/>
    <cellStyle name="Normal 28" xfId="1370"/>
    <cellStyle name="Normal 28 2" xfId="1371"/>
    <cellStyle name="Normal 29" xfId="1372"/>
    <cellStyle name="Normal 29 2" xfId="1373"/>
    <cellStyle name="Normal 29 2 2" xfId="1374"/>
    <cellStyle name="Normal 29 3" xfId="1375"/>
    <cellStyle name="Normal 29 4" xfId="1376"/>
    <cellStyle name="Normal 3" xfId="8"/>
    <cellStyle name="Normal 3 2" xfId="34"/>
    <cellStyle name="Normal 3 2 2" xfId="1378"/>
    <cellStyle name="Normal 3 2 3" xfId="1379"/>
    <cellStyle name="Normal 3 2 4" xfId="1380"/>
    <cellStyle name="Normal 3 2 5" xfId="1381"/>
    <cellStyle name="Normal 3 2_20.Vinh Phuc" xfId="1382"/>
    <cellStyle name="Normal 3 3" xfId="33"/>
    <cellStyle name="Normal 3 3 2" xfId="1384"/>
    <cellStyle name="Normal 3 3 3" xfId="1383"/>
    <cellStyle name="Normal 3 4" xfId="1385"/>
    <cellStyle name="Normal 3 4 2" xfId="1386"/>
    <cellStyle name="Normal 3 4 3" xfId="1387"/>
    <cellStyle name="Normal 3 5" xfId="1388"/>
    <cellStyle name="Normal 3 5 2" xfId="1389"/>
    <cellStyle name="Normal 3 5 3" xfId="1390"/>
    <cellStyle name="Normal 3 6" xfId="1391"/>
    <cellStyle name="Normal 3 7" xfId="1377"/>
    <cellStyle name="Normal 3 8" xfId="1392"/>
    <cellStyle name="Normal 3_131114- Bieu giao du toan CTMTQG 2014 giao" xfId="1393"/>
    <cellStyle name="Normal 30" xfId="1394"/>
    <cellStyle name="Normal 31" xfId="1395"/>
    <cellStyle name="Normal 32" xfId="1396"/>
    <cellStyle name="Normal 32 2" xfId="1397"/>
    <cellStyle name="Normal 33" xfId="1398"/>
    <cellStyle name="Normal 34" xfId="1399"/>
    <cellStyle name="Normal 35" xfId="1400"/>
    <cellStyle name="Normal 36" xfId="1401"/>
    <cellStyle name="Normal 37" xfId="1402"/>
    <cellStyle name="Normal 38" xfId="1403"/>
    <cellStyle name="Normal 39" xfId="1404"/>
    <cellStyle name="Normal 4" xfId="9"/>
    <cellStyle name="Normal 4 10" xfId="1406"/>
    <cellStyle name="Normal 4 11" xfId="1407"/>
    <cellStyle name="Normal 4 12" xfId="1408"/>
    <cellStyle name="Normal 4 13" xfId="1409"/>
    <cellStyle name="Normal 4 14" xfId="1410"/>
    <cellStyle name="Normal 4 15" xfId="1411"/>
    <cellStyle name="Normal 4 16" xfId="1405"/>
    <cellStyle name="Normal 4 2" xfId="35"/>
    <cellStyle name="Normal 4 2 2" xfId="1413"/>
    <cellStyle name="Normal 4 2 3" xfId="1412"/>
    <cellStyle name="Normal 4 3" xfId="1414"/>
    <cellStyle name="Normal 4 4" xfId="1415"/>
    <cellStyle name="Normal 4 5" xfId="1416"/>
    <cellStyle name="Normal 4 6" xfId="1417"/>
    <cellStyle name="Normal 4 7" xfId="1418"/>
    <cellStyle name="Normal 4 8" xfId="1419"/>
    <cellStyle name="Normal 4 9" xfId="1420"/>
    <cellStyle name="Normal 4_130114 Tong hop DT 2013 - HDND thong qua" xfId="1421"/>
    <cellStyle name="Normal 40" xfId="1422"/>
    <cellStyle name="Normal 41" xfId="1423"/>
    <cellStyle name="Normal 42" xfId="1424"/>
    <cellStyle name="Normal 43" xfId="1425"/>
    <cellStyle name="Normal 44" xfId="1426"/>
    <cellStyle name="Normal 45" xfId="1427"/>
    <cellStyle name="Normal 46" xfId="1428"/>
    <cellStyle name="Normal 46 3" xfId="1429"/>
    <cellStyle name="Normal 47" xfId="1430"/>
    <cellStyle name="Normal 48" xfId="1431"/>
    <cellStyle name="Normal 49" xfId="1432"/>
    <cellStyle name="Normal 5" xfId="36"/>
    <cellStyle name="Normal 5 2" xfId="1434"/>
    <cellStyle name="Normal 5 2 2" xfId="1435"/>
    <cellStyle name="Normal 5 3" xfId="1436"/>
    <cellStyle name="Normal 5 4" xfId="1437"/>
    <cellStyle name="Normal 5 5" xfId="1438"/>
    <cellStyle name="Normal 5 6" xfId="1433"/>
    <cellStyle name="Normal 5_3. Biểu QT Chi nam 2016 -bieu 5, 6, 7, 8, 9" xfId="1439"/>
    <cellStyle name="Normal 50" xfId="1440"/>
    <cellStyle name="Normal 51" xfId="1441"/>
    <cellStyle name="Normal 52" xfId="1442"/>
    <cellStyle name="Normal 53" xfId="1443"/>
    <cellStyle name="Normal 6" xfId="1444"/>
    <cellStyle name="Normal 6 2" xfId="1445"/>
    <cellStyle name="Normal 6 2 2" xfId="1446"/>
    <cellStyle name="Normal 6 3" xfId="1447"/>
    <cellStyle name="Normal 6 3 2" xfId="1448"/>
    <cellStyle name="Normal 6 4" xfId="1449"/>
    <cellStyle name="Normal 6 5" xfId="1450"/>
    <cellStyle name="Normal 6 6" xfId="1451"/>
    <cellStyle name="Normal 6_131021 TDT VON DAU TU 2014 (CT MTQG) GUI TONG HOP" xfId="1452"/>
    <cellStyle name="Normal 7" xfId="1453"/>
    <cellStyle name="Normal 7 2" xfId="1454"/>
    <cellStyle name="Normal 7 2 2" xfId="1455"/>
    <cellStyle name="Normal 7 3" xfId="1456"/>
    <cellStyle name="Normal 7 4" xfId="1457"/>
    <cellStyle name="Normal 7_131021 TDT VON DAU TU 2014 (CT MTQG) GUI TONG HOP" xfId="1458"/>
    <cellStyle name="Normal 8" xfId="1459"/>
    <cellStyle name="Normal 8 2" xfId="1460"/>
    <cellStyle name="Normal 8 3" xfId="1461"/>
    <cellStyle name="Normal 8 3 2" xfId="1462"/>
    <cellStyle name="Normal 8 4" xfId="1463"/>
    <cellStyle name="Normal 8 5" xfId="1464"/>
    <cellStyle name="Normal 9" xfId="18"/>
    <cellStyle name="Normal 9 2" xfId="1465"/>
    <cellStyle name="Normal 9 2 2" xfId="1466"/>
    <cellStyle name="Normal 9 3" xfId="1467"/>
    <cellStyle name="Normal 9 4" xfId="1468"/>
    <cellStyle name="Normal 9 5" xfId="1469"/>
    <cellStyle name="Normal_060719 QN-He thong bieu mau lam du toan chi NSDP Vong I nam 2007 2" xfId="44"/>
    <cellStyle name="Normal_Bieu mau (CV )" xfId="15"/>
    <cellStyle name="Normal_Sheet1" xfId="40"/>
    <cellStyle name="Normal_Tables_Commune" xfId="2286"/>
    <cellStyle name="Normal1" xfId="1470"/>
    <cellStyle name="Normal8" xfId="1471"/>
    <cellStyle name="Normalny_Cennik obowiazuje od 06-08-2001 r (1)" xfId="1472"/>
    <cellStyle name="Note 2" xfId="1473"/>
    <cellStyle name="Note 2 2" xfId="1474"/>
    <cellStyle name="Note 3" xfId="1475"/>
    <cellStyle name="Note 4" xfId="1476"/>
    <cellStyle name="NWM" xfId="1477"/>
    <cellStyle name="nga" xfId="1198"/>
    <cellStyle name="o" xfId="1478"/>
    <cellStyle name="o 2" xfId="1479"/>
    <cellStyle name="Ò_x000d_Normal_123569" xfId="1480"/>
    <cellStyle name="o_Muc thu-chi KB Ha Tay" xfId="1481"/>
    <cellStyle name="o_Muc thu-chi KB Ha Tay_KHKT_tong_quat_BK_(Pb_20.3)(1) (1)" xfId="1482"/>
    <cellStyle name="o_Muc thu-chi KB Ha Tay_PL 2 (Nhan su)" xfId="1483"/>
    <cellStyle name="o_Muc thu-chi KB Ha Tay_PL1 " xfId="1484"/>
    <cellStyle name="o_Muc thu-chi KB Ha Tay_TINH HNH DOANH NGHIEP GUI KIEM TOAN" xfId="1485"/>
    <cellStyle name="Œ…‹æØ‚è [0.00]_laroux" xfId="1486"/>
    <cellStyle name="Œ…‹æØ‚è_laroux" xfId="1487"/>
    <cellStyle name="oft Excel]_x000d__x000a_Comment=open=/f ‚ðw’è‚·‚é‚ÆAƒ†[ƒU[’è‹`ŠÖ”‚ðŠÖ”“\‚è•t‚¯‚Ìˆê——‚É“o˜^‚·‚é‚±‚Æ‚ª‚Å‚«‚Ü‚·B_x000d__x000a_Maximized" xfId="1488"/>
    <cellStyle name="oft Excel]_x000d__x000a_Comment=open=/f ‚ðŽw’è‚·‚é‚ÆAƒ†[ƒU[’è‹`ŠÖ”‚ðŠÖ”“\‚è•t‚¯‚Ìˆê——‚É“o˜^‚·‚é‚±‚Æ‚ª‚Å‚«‚Ü‚·B_x000d__x000a_Maximized" xfId="1489"/>
    <cellStyle name="oft Excel]_x000d__x000a_Comment=The open=/f lines load custom functions into the Paste Function list._x000d__x000a_Maximized=2_x000d__x000a_Basics=1_x000d__x000a_A" xfId="1490"/>
    <cellStyle name="oft Excel]_x000d__x000a_Comment=The open=/f lines load custom functions into the Paste Function list._x000d__x000a_Maximized=2_x000d__x000a_Basics=1_x000d__x000a_A 2" xfId="1491"/>
    <cellStyle name="oft Excel]_x000d__x000a_Comment=The open=/f lines load custom functions into the Paste Function list._x000d__x000a_Maximized=2_x000d__x000a_Basics=1_x000d__x000a_A_KHKT_tong_quat_BK_(Pb_20.3)(1) (1)" xfId="1492"/>
    <cellStyle name="oft Excel]_x000d__x000a_Comment=The open=/f lines load custom functions into the Paste Function list._x000d__x000a_Maximized=3_x000d__x000a_Basics=1_x000d__x000a_A" xfId="1493"/>
    <cellStyle name="oft Excel]_x000d__x000a_Comment=The open=/f lines load custom functions into the Paste Function list._x000d__x000a_Maximized=3_x000d__x000a_Basics=1_x000d__x000a_A 2" xfId="1494"/>
    <cellStyle name="omma [0]_Mktg Prog" xfId="1495"/>
    <cellStyle name="ormal_Sheet1_1" xfId="1496"/>
    <cellStyle name="Output 2" xfId="1497"/>
    <cellStyle name="Output 3" xfId="1498"/>
    <cellStyle name="Output 4" xfId="1499"/>
    <cellStyle name="p" xfId="1500"/>
    <cellStyle name="Pattern" xfId="1501"/>
    <cellStyle name="Pattern 2" xfId="1502"/>
    <cellStyle name="Pattern 3" xfId="1503"/>
    <cellStyle name="per.style" xfId="1504"/>
    <cellStyle name="Percent [0]" xfId="1505"/>
    <cellStyle name="Percent [0] 2" xfId="1506"/>
    <cellStyle name="Percent [0] 3" xfId="1507"/>
    <cellStyle name="Percent [00]" xfId="1508"/>
    <cellStyle name="Percent [2]" xfId="1509"/>
    <cellStyle name="Percent 10" xfId="1510"/>
    <cellStyle name="Percent 2" xfId="1511"/>
    <cellStyle name="Percent 2 2" xfId="1512"/>
    <cellStyle name="Percent 2 3" xfId="1513"/>
    <cellStyle name="Percent 2 4" xfId="1514"/>
    <cellStyle name="Percent 2 5" xfId="1515"/>
    <cellStyle name="Percent 2 6" xfId="1516"/>
    <cellStyle name="Percent 2_Bieu kem de cuong" xfId="1517"/>
    <cellStyle name="Percent 3" xfId="1518"/>
    <cellStyle name="Percent 3 2" xfId="1519"/>
    <cellStyle name="Percent 3 3" xfId="1520"/>
    <cellStyle name="Percent 3 4" xfId="1521"/>
    <cellStyle name="Percent 3 5" xfId="1522"/>
    <cellStyle name="Percent 3 6" xfId="1523"/>
    <cellStyle name="Percent 4" xfId="1524"/>
    <cellStyle name="Percent 5" xfId="1525"/>
    <cellStyle name="Percent 6" xfId="1526"/>
    <cellStyle name="Percent 7" xfId="1527"/>
    <cellStyle name="Percent 8" xfId="1528"/>
    <cellStyle name="PERCENTAGE" xfId="1529"/>
    <cellStyle name="PrePop Currency (0)" xfId="1532"/>
    <cellStyle name="PrePop Currency (0) 2" xfId="1533"/>
    <cellStyle name="PrePop Currency (0) 3" xfId="1534"/>
    <cellStyle name="PrePop Currency (2)" xfId="1535"/>
    <cellStyle name="PrePop Units (0)" xfId="1536"/>
    <cellStyle name="PrePop Units (0) 2" xfId="1537"/>
    <cellStyle name="PrePop Units (0) 3" xfId="1538"/>
    <cellStyle name="PrePop Units (1)" xfId="1539"/>
    <cellStyle name="PrePop Units (1) 2" xfId="1540"/>
    <cellStyle name="PrePop Units (1) 3" xfId="1541"/>
    <cellStyle name="PrePop Units (2)" xfId="1542"/>
    <cellStyle name="pricing" xfId="1543"/>
    <cellStyle name="PSChar" xfId="1544"/>
    <cellStyle name="PSHeading" xfId="1545"/>
    <cellStyle name="Phần Trăm 2" xfId="1530"/>
    <cellStyle name="Phần Trăm 2 2" xfId="1531"/>
    <cellStyle name="QG" xfId="1546"/>
    <cellStyle name="Quantity" xfId="1548"/>
    <cellStyle name="QUANG" xfId="1547"/>
    <cellStyle name="regstoresfromspecstores" xfId="1549"/>
    <cellStyle name="RevList" xfId="1550"/>
    <cellStyle name="RevList 2" xfId="1551"/>
    <cellStyle name="rlink_tiªn l­în_x001b_Hyperlink_TONG HOP KINH PHI" xfId="1552"/>
    <cellStyle name="rmal_ADAdot" xfId="1553"/>
    <cellStyle name="S—_x0008_" xfId="1554"/>
    <cellStyle name="s]_x000d__x000a_spooler=yes_x000d__x000a_load=_x000d__x000a_Beep=yes_x000d__x000a_NullPort=None_x000d__x000a_BorderWidth=3_x000d__x000a_CursorBlinkRate=1200_x000d__x000a_DoubleClickSpeed=452_x000d__x000a_Programs=co" xfId="1555"/>
    <cellStyle name="s]_x000d__x000a_spooler=yes_x000d__x000a_load=_x000d__x000a_Beep=yes_x000d__x000a_NullPort=None_x000d__x000a_BorderWidth=3_x000d__x000a_CursorBlinkRate=1200_x000d__x000a_DoubleClickSpeed=452_x000d__x000a_Programs=co 2" xfId="1556"/>
    <cellStyle name="S—_x0008__CTMTQG 2015" xfId="1557"/>
    <cellStyle name="SAPBEXaggData" xfId="1558"/>
    <cellStyle name="SAPBEXaggDataEmph" xfId="1559"/>
    <cellStyle name="SAPBEXaggItem" xfId="1560"/>
    <cellStyle name="SAPBEXchaText" xfId="1561"/>
    <cellStyle name="SAPBEXexcBad7" xfId="1562"/>
    <cellStyle name="SAPBEXexcBad8" xfId="1563"/>
    <cellStyle name="SAPBEXexcBad9" xfId="1564"/>
    <cellStyle name="SAPBEXexcCritical4" xfId="1565"/>
    <cellStyle name="SAPBEXexcCritical5" xfId="1566"/>
    <cellStyle name="SAPBEXexcCritical6" xfId="1567"/>
    <cellStyle name="SAPBEXexcGood1" xfId="1568"/>
    <cellStyle name="SAPBEXexcGood2" xfId="1569"/>
    <cellStyle name="SAPBEXexcGood3" xfId="1570"/>
    <cellStyle name="SAPBEXfilterDrill" xfId="1571"/>
    <cellStyle name="SAPBEXfilterItem" xfId="1572"/>
    <cellStyle name="SAPBEXfilterText" xfId="1573"/>
    <cellStyle name="SAPBEXformats" xfId="1574"/>
    <cellStyle name="SAPBEXheaderItem" xfId="1575"/>
    <cellStyle name="SAPBEXheaderText" xfId="1576"/>
    <cellStyle name="SAPBEXresData" xfId="1577"/>
    <cellStyle name="SAPBEXresDataEmph" xfId="1578"/>
    <cellStyle name="SAPBEXresItem" xfId="1579"/>
    <cellStyle name="SAPBEXstdData" xfId="1580"/>
    <cellStyle name="SAPBEXstdDataEmph" xfId="1581"/>
    <cellStyle name="SAPBEXstdItem" xfId="1582"/>
    <cellStyle name="SAPBEXtitle" xfId="1583"/>
    <cellStyle name="SAPBEXundefined" xfId="1584"/>
    <cellStyle name="serJet 1200 Series PCL 6" xfId="1585"/>
    <cellStyle name="SHADEDSTORES" xfId="1586"/>
    <cellStyle name="Siêu nối kết_Book1" xfId="1587"/>
    <cellStyle name="songuyen" xfId="1588"/>
    <cellStyle name="specstores" xfId="1589"/>
    <cellStyle name="Standard" xfId="1590"/>
    <cellStyle name="STTDG" xfId="1591"/>
    <cellStyle name="Style 1" xfId="1592"/>
    <cellStyle name="Style 1 2" xfId="1593"/>
    <cellStyle name="Style 10" xfId="1594"/>
    <cellStyle name="Style 11" xfId="1595"/>
    <cellStyle name="Style 12" xfId="1596"/>
    <cellStyle name="Style 13" xfId="1597"/>
    <cellStyle name="Style 14" xfId="1598"/>
    <cellStyle name="Style 15" xfId="1599"/>
    <cellStyle name="Style 16" xfId="1600"/>
    <cellStyle name="Style 17" xfId="1601"/>
    <cellStyle name="Style 18" xfId="1602"/>
    <cellStyle name="Style 19" xfId="1603"/>
    <cellStyle name="Style 2" xfId="1604"/>
    <cellStyle name="Style 20" xfId="1605"/>
    <cellStyle name="Style 21" xfId="1606"/>
    <cellStyle name="Style 22" xfId="1607"/>
    <cellStyle name="Style 23" xfId="1608"/>
    <cellStyle name="Style 24" xfId="1609"/>
    <cellStyle name="Style 25" xfId="1610"/>
    <cellStyle name="Style 26" xfId="1611"/>
    <cellStyle name="Style 27" xfId="1612"/>
    <cellStyle name="Style 28" xfId="1613"/>
    <cellStyle name="Style 29" xfId="1614"/>
    <cellStyle name="Style 3" xfId="1615"/>
    <cellStyle name="Style 30" xfId="1616"/>
    <cellStyle name="Style 31" xfId="1617"/>
    <cellStyle name="Style 32" xfId="1618"/>
    <cellStyle name="Style 33" xfId="1619"/>
    <cellStyle name="Style 34" xfId="1620"/>
    <cellStyle name="Style 35" xfId="1621"/>
    <cellStyle name="Style 36" xfId="1622"/>
    <cellStyle name="Style 37" xfId="1623"/>
    <cellStyle name="Style 38" xfId="1624"/>
    <cellStyle name="Style 39" xfId="1625"/>
    <cellStyle name="Style 4" xfId="1626"/>
    <cellStyle name="Style 40" xfId="1627"/>
    <cellStyle name="Style 41" xfId="1628"/>
    <cellStyle name="Style 42" xfId="1629"/>
    <cellStyle name="Style 43" xfId="1630"/>
    <cellStyle name="Style 44" xfId="1631"/>
    <cellStyle name="Style 45" xfId="1632"/>
    <cellStyle name="Style 46" xfId="1633"/>
    <cellStyle name="Style 47" xfId="1634"/>
    <cellStyle name="Style 48" xfId="1635"/>
    <cellStyle name="Style 49" xfId="1636"/>
    <cellStyle name="Style 5" xfId="1637"/>
    <cellStyle name="Style 50" xfId="1638"/>
    <cellStyle name="Style 51" xfId="1639"/>
    <cellStyle name="Style 52" xfId="1640"/>
    <cellStyle name="Style 53" xfId="1641"/>
    <cellStyle name="Style 54" xfId="1642"/>
    <cellStyle name="Style 55" xfId="1643"/>
    <cellStyle name="Style 56" xfId="1644"/>
    <cellStyle name="Style 57" xfId="1645"/>
    <cellStyle name="Style 58" xfId="1646"/>
    <cellStyle name="Style 59" xfId="1647"/>
    <cellStyle name="Style 6" xfId="1648"/>
    <cellStyle name="Style 60" xfId="1649"/>
    <cellStyle name="Style 61" xfId="1650"/>
    <cellStyle name="Style 62" xfId="1651"/>
    <cellStyle name="Style 63" xfId="1652"/>
    <cellStyle name="Style 64" xfId="1653"/>
    <cellStyle name="Style 65" xfId="1654"/>
    <cellStyle name="Style 66" xfId="1655"/>
    <cellStyle name="Style 67" xfId="1656"/>
    <cellStyle name="Style 68" xfId="1657"/>
    <cellStyle name="Style 69" xfId="1658"/>
    <cellStyle name="Style 7" xfId="1659"/>
    <cellStyle name="Style 70" xfId="1660"/>
    <cellStyle name="Style 71" xfId="1661"/>
    <cellStyle name="Style 72" xfId="1662"/>
    <cellStyle name="Style 73" xfId="1663"/>
    <cellStyle name="Style 74" xfId="1664"/>
    <cellStyle name="Style 75" xfId="1665"/>
    <cellStyle name="Style 8" xfId="1666"/>
    <cellStyle name="Style 9" xfId="1667"/>
    <cellStyle name="Style Date" xfId="1668"/>
    <cellStyle name="style_1" xfId="1669"/>
    <cellStyle name="Style1" xfId="1670"/>
    <cellStyle name="subhead" xfId="1671"/>
    <cellStyle name="Subtotal" xfId="1672"/>
    <cellStyle name="Subtotal 2" xfId="1673"/>
    <cellStyle name="symbol" xfId="1674"/>
    <cellStyle name="T" xfId="1675"/>
    <cellStyle name="T 2" xfId="1676"/>
    <cellStyle name="T 2 2" xfId="1677"/>
    <cellStyle name="T 2_KHKT_tong_quat_BK_(Pb_20.3)(1) (1)" xfId="1678"/>
    <cellStyle name="T 3" xfId="1679"/>
    <cellStyle name="T 4" xfId="1680"/>
    <cellStyle name="T 5" xfId="1681"/>
    <cellStyle name="T 6" xfId="1682"/>
    <cellStyle name="T 7" xfId="1683"/>
    <cellStyle name="T 8" xfId="1684"/>
    <cellStyle name="T_06.05..2015 phong tai chinh (1)" xfId="1685"/>
    <cellStyle name="T_06.05..2015 phong tai chinh (1)_3. Biểu Chi QT 2016" xfId="1686"/>
    <cellStyle name="T_1. Bieu uoc thu - dieu chinh tro cap XP 2014" xfId="1687"/>
    <cellStyle name="T_1. Bieu uoc thu - dieu chinh tro cap XP 2014_2. Du toan dieu chinh 2016 xã phường 09-11" xfId="1688"/>
    <cellStyle name="T_1. Bieu uoc thu - dieu chinh tro cap XP 2014_2. Du toan dieu chinh 2016 xã phường 09-11_3. Biểu Chi QT 2016" xfId="1689"/>
    <cellStyle name="T_1. Bieu uoc thu - dieu chinh tro cap XP 2014_3. Biểu Chi QT 2016" xfId="1690"/>
    <cellStyle name="T_1. Bieu uoc thu - dieu chinh tro cap XP 2014_3. Cac bieu QT chi NSNN 2015 tu B05-09" xfId="1691"/>
    <cellStyle name="T_1. Bieu uoc thu - dieu chinh tro cap XP 2014_Bieu dieu chinh NS nam 2015 da sua - Chuan" xfId="1693"/>
    <cellStyle name="T_1. Bieu uoc thu - dieu chinh tro cap XP 2014_Bieu dieu chinh NS nam 2015 da sua - Chuan_3. Biểu Chi QT 2016" xfId="1694"/>
    <cellStyle name="T_1. Bieu uoc thu - dieu chinh tro cap XP 2014_biểu chi xp x (1)" xfId="1692"/>
    <cellStyle name="T_131114- Bieu giao du toan CTMTQG 2014 giao" xfId="1695"/>
    <cellStyle name="T_2. Du toan dieu chinh 2016 xã phường 09-11" xfId="1696"/>
    <cellStyle name="T_2. Du toan dieu chinh 2016 xã phường 09-11_3. Biểu Chi QT 2016" xfId="1697"/>
    <cellStyle name="T_20.Vinh Phuc" xfId="1698"/>
    <cellStyle name="T_3. Bieu tien dat doanh nghiep" xfId="1701"/>
    <cellStyle name="T_3. Bieu tien dat doanh nghiep_3. Biểu Chi QT 2016" xfId="1702"/>
    <cellStyle name="T_3. Biểu Chi QT 2016" xfId="1699"/>
    <cellStyle name="T_3. Biểu QT Chi nam 2016 -bieu 5, 6, 7, 8, 9" xfId="1700"/>
    <cellStyle name="T_3. Cac bieu QT chi NSNN 2015 tu B05-09" xfId="1703"/>
    <cellStyle name="T_50-BB Vung tau 2011" xfId="1704"/>
    <cellStyle name="T_50-BB Vung tau 2011_120907 Thu tang them 4500" xfId="1705"/>
    <cellStyle name="T_50-BB Vung tau 2011_120907 Thu tang them 4500_Von ngoai nuoc" xfId="1706"/>
    <cellStyle name="T_50-BB Vung tau 2011_27-8Tong hop PA uoc 2012-DT 2013 -PA 420.000 ty-490.000 ty chuyen doi" xfId="1707"/>
    <cellStyle name="T_50-BB Vung tau 2011_27-8Tong hop PA uoc 2012-DT 2013 -PA 420.000 ty-490.000 ty chuyen doi_Von ngoai nuoc" xfId="1708"/>
    <cellStyle name="T_50-BB Vung tau 2011_Von ngoai nuoc" xfId="1709"/>
    <cellStyle name="T_Bangtheodoicongviec" xfId="1710"/>
    <cellStyle name="T_bao cao" xfId="1711"/>
    <cellStyle name="T_Bao cao so lieu kiem toan nam 2007 sua" xfId="1712"/>
    <cellStyle name="T_Bao cao so lieu kiem toan nam 2007 sua_131114- Bieu giao du toan CTMTQG 2014 giao" xfId="1713"/>
    <cellStyle name="T_Bao cao so lieu kiem toan nam 2007 sua_BIEU MAU KE HOACH KINH TE XA HOI NAM 2013(2)" xfId="1714"/>
    <cellStyle name="T_Bao cao so lieu kiem toan nam 2007 sua_Book2" xfId="1715"/>
    <cellStyle name="T_Bao cao so lieu kiem toan nam 2007 sua_Book4" xfId="1716"/>
    <cellStyle name="T_Bao cao so lieu kiem toan nam 2007 sua_Book5" xfId="1717"/>
    <cellStyle name="T_Bao cao so lieu kiem toan nam 2007 sua_KH KTXH NAM 2014" xfId="1718"/>
    <cellStyle name="T_Bao cao so lieu kiem toan nam 2007 sua_KH KTXH NAM 2014-1" xfId="1719"/>
    <cellStyle name="T_bao cao_131114- Bieu giao du toan CTMTQG 2014 giao" xfId="1720"/>
    <cellStyle name="T_BBTNG-06" xfId="1721"/>
    <cellStyle name="T_BBTNG-06_131114- Bieu giao du toan CTMTQG 2014 giao" xfId="1722"/>
    <cellStyle name="T_BC CTMT-2008 Ttinh" xfId="1723"/>
    <cellStyle name="T_BC CTMT-2008 Ttinh_131114- Bieu giao du toan CTMTQG 2014 giao" xfId="1724"/>
    <cellStyle name="T_bc KB den ngay 15122010" xfId="1725"/>
    <cellStyle name="T_BenxuatXM2" xfId="1726"/>
    <cellStyle name="T_Bieu dieu chinh NS nam 2015 da sua - Chuan" xfId="1728"/>
    <cellStyle name="T_Bieu dieu chinh NS nam 2015 da sua - Chuan_3. Biểu Chi QT 2016" xfId="1729"/>
    <cellStyle name="T_Bieu kem cv 1454 ( Ca Mau)" xfId="1730"/>
    <cellStyle name="T_Bieu kem cv 1454 ( Ca Mau)_Von ngoai nuoc" xfId="1731"/>
    <cellStyle name="T_Bieu mau danh muc du an thuoc CTMTQG nam 2008" xfId="1732"/>
    <cellStyle name="T_Bieu mau danh muc du an thuoc CTMTQG nam 2008_131114- Bieu giao du toan CTMTQG 2014 giao" xfId="1733"/>
    <cellStyle name="T_Bieu mau tong hop Ke hoach XDCB" xfId="1734"/>
    <cellStyle name="T_Bieu tong hop nhu cau ung 2011 da chon loc -Mien nui" xfId="1735"/>
    <cellStyle name="T_Bieu tong hop nhu cau ung 2011 da chon loc -Mien nui_131114- Bieu giao du toan CTMTQG 2014 giao" xfId="1736"/>
    <cellStyle name="T_biểu chi xp x (1)" xfId="1727"/>
    <cellStyle name="T_Book1" xfId="1737"/>
    <cellStyle name="T_Book1 2" xfId="1738"/>
    <cellStyle name="T_Book1 2_KHKT_tong_quat_BK_(Pb_20.3)(1) (1)" xfId="1739"/>
    <cellStyle name="T_Book1 2_PL 2 (Nhan su)" xfId="1740"/>
    <cellStyle name="T_Book1 2_PL1 " xfId="1741"/>
    <cellStyle name="T_Book1 3" xfId="1742"/>
    <cellStyle name="T_Book1 4" xfId="1743"/>
    <cellStyle name="T_Book1_1" xfId="1744"/>
    <cellStyle name="T_Book1_1 2" xfId="1745"/>
    <cellStyle name="T_Book1_1 3" xfId="1746"/>
    <cellStyle name="T_Book1_1_131114- Bieu giao du toan CTMTQG 2014 giao" xfId="1747"/>
    <cellStyle name="T_Book1_1_Bieu tong hop nhu cau ung 2011 da chon loc -Mien nui" xfId="1748"/>
    <cellStyle name="T_Book1_1_Bieu tong hop nhu cau ung 2011 da chon loc -Mien nui_131114- Bieu giao du toan CTMTQG 2014 giao" xfId="1749"/>
    <cellStyle name="T_Book1_1_Book1" xfId="1750"/>
    <cellStyle name="T_Book1_1_CPK" xfId="1751"/>
    <cellStyle name="T_Book1_1_CPK_131114- Bieu giao du toan CTMTQG 2014 giao" xfId="1752"/>
    <cellStyle name="T_Book1_1_Luy ke von ung nam 2011 -Thoa gui ngay 12-8-2012" xfId="1753"/>
    <cellStyle name="T_Book1_1_Luy ke von ung nam 2011 -Thoa gui ngay 12-8-2012_131114- Bieu giao du toan CTMTQG 2014 giao" xfId="1754"/>
    <cellStyle name="T_Book1_1_Thiet bi" xfId="1755"/>
    <cellStyle name="T_Book1_1_Thiet bi_131114- Bieu giao du toan CTMTQG 2014 giao" xfId="1756"/>
    <cellStyle name="T_Book1_131114- Bieu giao du toan CTMTQG 2014 giao" xfId="1757"/>
    <cellStyle name="T_Book1_2" xfId="1758"/>
    <cellStyle name="T_Book1_2 2" xfId="1759"/>
    <cellStyle name="T_Book1_2 3" xfId="1760"/>
    <cellStyle name="T_Book1_2. Du toan dieu chinh 2016 xã phường 09-11" xfId="1761"/>
    <cellStyle name="T_Book1_2. Du toan dieu chinh 2016 xã phường 09-11_3. Biểu Chi QT 2016" xfId="1762"/>
    <cellStyle name="T_Book1_2_BIEU MAU KE HOACH KINH TE XA HOI NAM 2013(2)" xfId="1763"/>
    <cellStyle name="T_Book1_2_Book1" xfId="1764"/>
    <cellStyle name="T_Book1_2_Book1_BIEU MAU KE HOACH KINH TE XA HOI NAM 2013(2)" xfId="1765"/>
    <cellStyle name="T_Book1_2_Book1_Book2" xfId="1766"/>
    <cellStyle name="T_Book1_2_Book1_Book4" xfId="1767"/>
    <cellStyle name="T_Book1_2_Book1_Book5" xfId="1768"/>
    <cellStyle name="T_Book1_2_Book1_KH KTXH NAM 2014" xfId="1769"/>
    <cellStyle name="T_Book1_2_Book1_KH KTXH NAM 2014-1" xfId="1770"/>
    <cellStyle name="T_Book1_2_Book2" xfId="1771"/>
    <cellStyle name="T_Book1_2_Book4" xfId="1772"/>
    <cellStyle name="T_Book1_2_Book5" xfId="1773"/>
    <cellStyle name="T_Book1_2_KH KTXH NAM 2014" xfId="1774"/>
    <cellStyle name="T_Book1_2_KH KTXH NAM 2014-1" xfId="1775"/>
    <cellStyle name="T_Book1_3" xfId="1776"/>
    <cellStyle name="T_Book1_3 2" xfId="1777"/>
    <cellStyle name="T_Book1_3 3" xfId="1778"/>
    <cellStyle name="T_Book1_3. Biểu Chi QT 2016" xfId="1779"/>
    <cellStyle name="T_Book1_3. Biểu QT Chi nam 2016 -bieu 5, 6, 7, 8, 9" xfId="1780"/>
    <cellStyle name="T_Book1_3. Cac bieu QT chi NSNN 2015 tu B05-09" xfId="1781"/>
    <cellStyle name="T_Book1_3_BIEU MAU KE HOACH KINH TE XA HOI NAM 2013(2)" xfId="1782"/>
    <cellStyle name="T_Book1_3_Book2" xfId="1783"/>
    <cellStyle name="T_Book1_3_Book4" xfId="1784"/>
    <cellStyle name="T_Book1_3_Book5" xfId="1785"/>
    <cellStyle name="T_Book1_3_KH KTXH NAM 2014" xfId="1786"/>
    <cellStyle name="T_Book1_3_KH KTXH NAM 2014-1" xfId="1787"/>
    <cellStyle name="T_Book1_4" xfId="1788"/>
    <cellStyle name="T_Book1_BC NQ11-CP - chinh sua lai" xfId="1789"/>
    <cellStyle name="T_Book1_BC NQ11-CP - chinh sua lai_131114- Bieu giao du toan CTMTQG 2014 giao" xfId="1790"/>
    <cellStyle name="T_Book1_BC NQ11-CP-Quynh sau bieu so3" xfId="1791"/>
    <cellStyle name="T_Book1_BC NQ11-CP-Quynh sau bieu so3_131114- Bieu giao du toan CTMTQG 2014 giao" xfId="1792"/>
    <cellStyle name="T_Book1_BC_NQ11-CP_-_Thao_sua_lai" xfId="1793"/>
    <cellStyle name="T_Book1_BC_NQ11-CP_-_Thao_sua_lai_131114- Bieu giao du toan CTMTQG 2014 giao" xfId="1794"/>
    <cellStyle name="T_Book1_Bieu dieu chinh NS nam 2015 da sua - Chuan" xfId="1796"/>
    <cellStyle name="T_Book1_Bieu dieu chinh NS nam 2015 da sua - Chuan_3. Biểu Chi QT 2016" xfId="1797"/>
    <cellStyle name="T_Book1_Bieu mau danh muc du an thuoc CTMTQG nam 2008" xfId="1798"/>
    <cellStyle name="T_Book1_Bieu mau danh muc du an thuoc CTMTQG nam 2008_131114- Bieu giao du toan CTMTQG 2014 giao" xfId="1799"/>
    <cellStyle name="T_Book1_Bieu tong hop nhu cau ung 2011 da chon loc -Mien nui" xfId="1800"/>
    <cellStyle name="T_Book1_Bieu tong hop nhu cau ung 2011 da chon loc -Mien nui_131114- Bieu giao du toan CTMTQG 2014 giao" xfId="1801"/>
    <cellStyle name="T_Book1_biểu chi xp x (1)" xfId="1795"/>
    <cellStyle name="T_Book1_Book1" xfId="1802"/>
    <cellStyle name="T_Book1_Book1 2" xfId="1803"/>
    <cellStyle name="T_Book1_Book1 3" xfId="1804"/>
    <cellStyle name="T_Book1_Book1_1" xfId="1805"/>
    <cellStyle name="T_Book1_Book1_131114- Bieu giao du toan CTMTQG 2014 giao" xfId="1806"/>
    <cellStyle name="T_Book1_Book1_BIEU MAU KE HOACH KINH TE XA HOI NAM 2013(2)" xfId="1807"/>
    <cellStyle name="T_Book1_Book1_Book1" xfId="1808"/>
    <cellStyle name="T_Book1_Book1_Book2" xfId="1809"/>
    <cellStyle name="T_Book1_Book1_Book4" xfId="1810"/>
    <cellStyle name="T_Book1_Book1_Book5" xfId="1811"/>
    <cellStyle name="T_Book1_Book1_KH KTXH NAM 2014" xfId="1812"/>
    <cellStyle name="T_Book1_Book1_KH KTXH NAM 2014-1" xfId="1813"/>
    <cellStyle name="T_Book1_Cong trinh co y kien LD_Dang_NN_2011-Tay nguyen-9-10" xfId="1814"/>
    <cellStyle name="T_Book1_Cong trinh co y kien LD_Dang_NN_2011-Tay nguyen-9-10_131114- Bieu giao du toan CTMTQG 2014 giao" xfId="1815"/>
    <cellStyle name="T_Book1_CPK" xfId="1816"/>
    <cellStyle name="T_Book1_CPK_131114- Bieu giao du toan CTMTQG 2014 giao" xfId="1817"/>
    <cellStyle name="T_Book1_CTMTQG 2015" xfId="1818"/>
    <cellStyle name="T_Book1_Du an khoi cong moi nam 2010" xfId="1819"/>
    <cellStyle name="T_Book1_Du an khoi cong moi nam 2010_131114- Bieu giao du toan CTMTQG 2014 giao" xfId="1820"/>
    <cellStyle name="T_Book1_Du thao Ke hoach 2011_BC Ban KTNS" xfId="1821"/>
    <cellStyle name="T_Book1_Du thao Ke hoach 2011_BC Ban KTNS_BIEU MAU KE HOACH KINH TE XA HOI NAM 2013(2)" xfId="1822"/>
    <cellStyle name="T_Book1_Du thao Ke hoach 2011_BC Ban KTNS_Book2" xfId="1823"/>
    <cellStyle name="T_Book1_Du thao Ke hoach 2011_BC Ban KTNS_Book4" xfId="1824"/>
    <cellStyle name="T_Book1_Du thao Ke hoach 2011_BC Ban KTNS_Book5" xfId="1825"/>
    <cellStyle name="T_Book1_Du thao Ke hoach 2011_BC Ban KTNS_KH KTXH NAM 2014" xfId="1826"/>
    <cellStyle name="T_Book1_Du thao Ke hoach 2011_BC Ban KTNS_KH KTXH NAM 2014-1" xfId="1827"/>
    <cellStyle name="T_Book1_DuongBL(HM LK Q1.07)" xfId="1828"/>
    <cellStyle name="T_Book1_Hang Tom goi9 9-07(Cau 12 sua)" xfId="1829"/>
    <cellStyle name="T_Book1_Ket qua phan bo von nam 2008" xfId="1830"/>
    <cellStyle name="T_Book1_Ket qua phan bo von nam 2008_131114- Bieu giao du toan CTMTQG 2014 giao" xfId="1831"/>
    <cellStyle name="T_Book1_Ket qua phan bo von nam 2008_BIEU MAU KE HOACH KINH TE XA HOI NAM 2013(2)" xfId="1832"/>
    <cellStyle name="T_Book1_Ket qua phan bo von nam 2008_Book2" xfId="1833"/>
    <cellStyle name="T_Book1_Ket qua phan bo von nam 2008_Book4" xfId="1834"/>
    <cellStyle name="T_Book1_Ket qua phan bo von nam 2008_Book5" xfId="1835"/>
    <cellStyle name="T_Book1_Ket qua phan bo von nam 2008_KH KTXH NAM 2014" xfId="1836"/>
    <cellStyle name="T_Book1_Ket qua phan bo von nam 2008_KH KTXH NAM 2014-1" xfId="1837"/>
    <cellStyle name="T_Book1_KH XDCB_2008 lan 2 sua ngay 10-11" xfId="1838"/>
    <cellStyle name="T_Book1_KH XDCB_2008 lan 2 sua ngay 10-11_131114- Bieu giao du toan CTMTQG 2014 giao" xfId="1839"/>
    <cellStyle name="T_Book1_KH XDCB_2008 lan 2 sua ngay 10-11_BIEU MAU KE HOACH KINH TE XA HOI NAM 2013(2)" xfId="1840"/>
    <cellStyle name="T_Book1_KH XDCB_2008 lan 2 sua ngay 10-11_Book2" xfId="1841"/>
    <cellStyle name="T_Book1_KH XDCB_2008 lan 2 sua ngay 10-11_Book4" xfId="1842"/>
    <cellStyle name="T_Book1_KH XDCB_2008 lan 2 sua ngay 10-11_Book5" xfId="1843"/>
    <cellStyle name="T_Book1_KH XDCB_2008 lan 2 sua ngay 10-11_KH KTXH NAM 2014" xfId="1844"/>
    <cellStyle name="T_Book1_KH XDCB_2008 lan 2 sua ngay 10-11_KH KTXH NAM 2014-1" xfId="1845"/>
    <cellStyle name="T_Book1_KHKT_tong_quat_BK_(Pb_20.3)(1) (1)" xfId="1846"/>
    <cellStyle name="T_Book1_Khoi luong chinh Hang Tom" xfId="1847"/>
    <cellStyle name="T_Book1_Luy ke von ung nam 2011 -Thoa gui ngay 12-8-2012" xfId="1848"/>
    <cellStyle name="T_Book1_Luy ke von ung nam 2011 -Thoa gui ngay 12-8-2012_131114- Bieu giao du toan CTMTQG 2014 giao" xfId="1849"/>
    <cellStyle name="T_Book1_Muc thu-chi KB Ha Tay" xfId="1850"/>
    <cellStyle name="T_Book1_Muc thu-chi KB Ha Tay_KHKT_tong_quat_BK_(Pb_20.3)(1) (1)" xfId="1851"/>
    <cellStyle name="T_Book1_Muc thu-chi KB Ha Tay_PL 2 (Nhan su)" xfId="1852"/>
    <cellStyle name="T_Book1_Muc thu-chi KB Ha Tay_PL1 " xfId="1853"/>
    <cellStyle name="T_Book1_Nhu cau von ung truoc 2011 Tha h Hoa + Nge An gui TW" xfId="1854"/>
    <cellStyle name="T_Book1_Nhu cau von ung truoc 2011 Tha h Hoa + Nge An gui TW_131114- Bieu giao du toan CTMTQG 2014 giao" xfId="1855"/>
    <cellStyle name="T_Book1_PL 2 (Nhan su)" xfId="1858"/>
    <cellStyle name="T_Book1_PL1 " xfId="1859"/>
    <cellStyle name="T_Book1_phu luc tong ket tinh hinh TH giai doan 03-10 (ngay 30)" xfId="1856"/>
    <cellStyle name="T_Book1_phu luc tong ket tinh hinh TH giai doan 03-10 (ngay 30)_131114- Bieu giao du toan CTMTQG 2014 giao" xfId="1857"/>
    <cellStyle name="T_Book1_TABMIS 16.12.10" xfId="1860"/>
    <cellStyle name="T_Book1_TABMIS chuyen nguon" xfId="1861"/>
    <cellStyle name="T_Book1_TINH HNH DOANH NGHIEP GUI KIEM TOAN" xfId="1870"/>
    <cellStyle name="T_Book1_TN - Ho tro khac 2011" xfId="1871"/>
    <cellStyle name="T_Book1_TN - Ho tro khac 2011_131114- Bieu giao du toan CTMTQG 2014 giao" xfId="1872"/>
    <cellStyle name="T_Book1_TH Ket qua thao luan nam 2015 - Vong 1- TCT (Nhan)" xfId="1862"/>
    <cellStyle name="T_Book1_TH Ket qua thao luan nam 2015 - Vong 1- TCT (Nhan)_Von ngoai nuoc" xfId="1863"/>
    <cellStyle name="T_Book1_TH ung tren 70%-Ra soat phap ly-8-6 (dung de chuyen vao vu TH)" xfId="1864"/>
    <cellStyle name="T_Book1_TH ung tren 70%-Ra soat phap ly-8-6 (dung de chuyen vao vu TH)_131114- Bieu giao du toan CTMTQG 2014 giao" xfId="1865"/>
    <cellStyle name="T_Book1_TH y kien LD_KH 2010 Ca Nuoc 22-9-2011-Gui ca Vu" xfId="1866"/>
    <cellStyle name="T_Book1_TH y kien LD_KH 2010 Ca Nuoc 22-9-2011-Gui ca Vu_131114- Bieu giao du toan CTMTQG 2014 giao" xfId="1867"/>
    <cellStyle name="T_Book1_Thiet bi" xfId="1868"/>
    <cellStyle name="T_Book1_Thiet bi_131114- Bieu giao du toan CTMTQG 2014 giao" xfId="1869"/>
    <cellStyle name="T_Book1_ung truoc 2011 NSTW Thanh Hoa + Nge An gui Thu 12-5" xfId="1873"/>
    <cellStyle name="T_Book1_ung truoc 2011 NSTW Thanh Hoa + Nge An gui Thu 12-5_131114- Bieu giao du toan CTMTQG 2014 giao" xfId="1874"/>
    <cellStyle name="T_Book1_Von ngoai nuoc" xfId="1875"/>
    <cellStyle name="T_Book1_" xfId="1876"/>
    <cellStyle name="T_Cao do mong cong, phai tuyen" xfId="1877"/>
    <cellStyle name="T_cap phat 2016" xfId="1878"/>
    <cellStyle name="T_cap phat den thoi diem 25.10" xfId="1879"/>
    <cellStyle name="T_cap phat den thoi diem 25.10_3. Biểu Chi QT 2016" xfId="1880"/>
    <cellStyle name="T_Copy of Bao cao  XDCB 7 thang nam 2008_So KH&amp;DT SUA" xfId="1883"/>
    <cellStyle name="T_Copy of Bao cao  XDCB 7 thang nam 2008_So KH&amp;DT SUA_131114- Bieu giao du toan CTMTQG 2014 giao" xfId="1884"/>
    <cellStyle name="T_CPK" xfId="1885"/>
    <cellStyle name="T_CPK_131114- Bieu giao du toan CTMTQG 2014 giao" xfId="1886"/>
    <cellStyle name="T_CTMTQG 2008" xfId="1887"/>
    <cellStyle name="T_CTMTQG 2008_131114- Bieu giao du toan CTMTQG 2014 giao" xfId="1888"/>
    <cellStyle name="T_CTMTQG 2008_Bieu mau danh muc du an thuoc CTMTQG nam 2008" xfId="1889"/>
    <cellStyle name="T_CTMTQG 2008_Bieu mau danh muc du an thuoc CTMTQG nam 2008_131114- Bieu giao du toan CTMTQG 2014 giao" xfId="1890"/>
    <cellStyle name="T_CTMTQG 2008_Bieu mau danh muc du an thuoc CTMTQG nam 2008_BIEU MAU KE HOACH KINH TE XA HOI NAM 2013(2)" xfId="1891"/>
    <cellStyle name="T_CTMTQG 2008_Bieu mau danh muc du an thuoc CTMTQG nam 2008_Book2" xfId="1892"/>
    <cellStyle name="T_CTMTQG 2008_Bieu mau danh muc du an thuoc CTMTQG nam 2008_Book4" xfId="1893"/>
    <cellStyle name="T_CTMTQG 2008_Bieu mau danh muc du an thuoc CTMTQG nam 2008_Book5" xfId="1894"/>
    <cellStyle name="T_CTMTQG 2008_Bieu mau danh muc du an thuoc CTMTQG nam 2008_KH KTXH NAM 2014" xfId="1895"/>
    <cellStyle name="T_CTMTQG 2008_Bieu mau danh muc du an thuoc CTMTQG nam 2008_KH KTXH NAM 2014-1" xfId="1896"/>
    <cellStyle name="T_CTMTQG 2008_BIEU MAU KE HOACH KINH TE XA HOI NAM 2013(2)" xfId="1897"/>
    <cellStyle name="T_CTMTQG 2008_Book2" xfId="1898"/>
    <cellStyle name="T_CTMTQG 2008_Book4" xfId="1899"/>
    <cellStyle name="T_CTMTQG 2008_Book5" xfId="1900"/>
    <cellStyle name="T_CTMTQG 2008_Hi-Tong hop KQ phan bo KH nam 08- LD fong giao 15-11-08" xfId="1901"/>
    <cellStyle name="T_CTMTQG 2008_Hi-Tong hop KQ phan bo KH nam 08- LD fong giao 15-11-08_131114- Bieu giao du toan CTMTQG 2014 giao" xfId="1902"/>
    <cellStyle name="T_CTMTQG 2008_Hi-Tong hop KQ phan bo KH nam 08- LD fong giao 15-11-08_BIEU MAU KE HOACH KINH TE XA HOI NAM 2013(2)" xfId="1903"/>
    <cellStyle name="T_CTMTQG 2008_Hi-Tong hop KQ phan bo KH nam 08- LD fong giao 15-11-08_Book2" xfId="1904"/>
    <cellStyle name="T_CTMTQG 2008_Hi-Tong hop KQ phan bo KH nam 08- LD fong giao 15-11-08_Book4" xfId="1905"/>
    <cellStyle name="T_CTMTQG 2008_Hi-Tong hop KQ phan bo KH nam 08- LD fong giao 15-11-08_Book5" xfId="1906"/>
    <cellStyle name="T_CTMTQG 2008_Hi-Tong hop KQ phan bo KH nam 08- LD fong giao 15-11-08_KH KTXH NAM 2014" xfId="1907"/>
    <cellStyle name="T_CTMTQG 2008_Hi-Tong hop KQ phan bo KH nam 08- LD fong giao 15-11-08_KH KTXH NAM 2014-1" xfId="1908"/>
    <cellStyle name="T_CTMTQG 2008_Ket qua thuc hien nam 2008" xfId="1909"/>
    <cellStyle name="T_CTMTQG 2008_Ket qua thuc hien nam 2008_131114- Bieu giao du toan CTMTQG 2014 giao" xfId="1910"/>
    <cellStyle name="T_CTMTQG 2008_Ket qua thuc hien nam 2008_BIEU MAU KE HOACH KINH TE XA HOI NAM 2013(2)" xfId="1911"/>
    <cellStyle name="T_CTMTQG 2008_Ket qua thuc hien nam 2008_Book2" xfId="1912"/>
    <cellStyle name="T_CTMTQG 2008_Ket qua thuc hien nam 2008_Book4" xfId="1913"/>
    <cellStyle name="T_CTMTQG 2008_Ket qua thuc hien nam 2008_Book5" xfId="1914"/>
    <cellStyle name="T_CTMTQG 2008_Ket qua thuc hien nam 2008_KH KTXH NAM 2014" xfId="1915"/>
    <cellStyle name="T_CTMTQG 2008_Ket qua thuc hien nam 2008_KH KTXH NAM 2014-1" xfId="1916"/>
    <cellStyle name="T_CTMTQG 2008_KH KTXH NAM 2014" xfId="1917"/>
    <cellStyle name="T_CTMTQG 2008_KH KTXH NAM 2014-1" xfId="1918"/>
    <cellStyle name="T_CTMTQG 2008_KH XDCB_2008 lan 1" xfId="1919"/>
    <cellStyle name="T_CTMTQG 2008_KH XDCB_2008 lan 1 sua ngay 27-10" xfId="1920"/>
    <cellStyle name="T_CTMTQG 2008_KH XDCB_2008 lan 1 sua ngay 27-10_131114- Bieu giao du toan CTMTQG 2014 giao" xfId="1921"/>
    <cellStyle name="T_CTMTQG 2008_KH XDCB_2008 lan 1 sua ngay 27-10_BIEU MAU KE HOACH KINH TE XA HOI NAM 2013(2)" xfId="1922"/>
    <cellStyle name="T_CTMTQG 2008_KH XDCB_2008 lan 1 sua ngay 27-10_Book2" xfId="1923"/>
    <cellStyle name="T_CTMTQG 2008_KH XDCB_2008 lan 1 sua ngay 27-10_Book4" xfId="1924"/>
    <cellStyle name="T_CTMTQG 2008_KH XDCB_2008 lan 1 sua ngay 27-10_Book5" xfId="1925"/>
    <cellStyle name="T_CTMTQG 2008_KH XDCB_2008 lan 1 sua ngay 27-10_KH KTXH NAM 2014" xfId="1926"/>
    <cellStyle name="T_CTMTQG 2008_KH XDCB_2008 lan 1 sua ngay 27-10_KH KTXH NAM 2014-1" xfId="1927"/>
    <cellStyle name="T_CTMTQG 2008_KH XDCB_2008 lan 1_131114- Bieu giao du toan CTMTQG 2014 giao" xfId="1928"/>
    <cellStyle name="T_CTMTQG 2008_KH XDCB_2008 lan 1_BIEU MAU KE HOACH KINH TE XA HOI NAM 2013(2)" xfId="1929"/>
    <cellStyle name="T_CTMTQG 2008_KH XDCB_2008 lan 1_Book2" xfId="1930"/>
    <cellStyle name="T_CTMTQG 2008_KH XDCB_2008 lan 1_Book4" xfId="1931"/>
    <cellStyle name="T_CTMTQG 2008_KH XDCB_2008 lan 1_Book5" xfId="1932"/>
    <cellStyle name="T_CTMTQG 2008_KH XDCB_2008 lan 1_KH KTXH NAM 2014" xfId="1933"/>
    <cellStyle name="T_CTMTQG 2008_KH XDCB_2008 lan 1_KH KTXH NAM 2014-1" xfId="1934"/>
    <cellStyle name="T_CTMTQG 2008_KH XDCB_2008 lan 2 sua ngay 10-11" xfId="1935"/>
    <cellStyle name="T_CTMTQG 2008_KH XDCB_2008 lan 2 sua ngay 10-11_131114- Bieu giao du toan CTMTQG 2014 giao" xfId="1936"/>
    <cellStyle name="T_CTMTQG 2008_KH XDCB_2008 lan 2 sua ngay 10-11_BIEU MAU KE HOACH KINH TE XA HOI NAM 2013(2)" xfId="1937"/>
    <cellStyle name="T_CTMTQG 2008_KH XDCB_2008 lan 2 sua ngay 10-11_Book2" xfId="1938"/>
    <cellStyle name="T_CTMTQG 2008_KH XDCB_2008 lan 2 sua ngay 10-11_Book4" xfId="1939"/>
    <cellStyle name="T_CTMTQG 2008_KH XDCB_2008 lan 2 sua ngay 10-11_Book5" xfId="1940"/>
    <cellStyle name="T_CTMTQG 2008_KH XDCB_2008 lan 2 sua ngay 10-11_KH KTXH NAM 2014" xfId="1941"/>
    <cellStyle name="T_CTMTQG 2008_KH XDCB_2008 lan 2 sua ngay 10-11_KH KTXH NAM 2014-1" xfId="1942"/>
    <cellStyle name="T_CTMTQG 2015" xfId="1943"/>
    <cellStyle name="T_Chuan bi dau tu nam 2008" xfId="1881"/>
    <cellStyle name="T_Chuan bi dau tu nam 2008_131114- Bieu giao du toan CTMTQG 2014 giao" xfId="1882"/>
    <cellStyle name="T_Du an khoi cong moi nam 2010" xfId="1944"/>
    <cellStyle name="T_Du an khoi cong moi nam 2010_131114- Bieu giao du toan CTMTQG 2014 giao" xfId="1945"/>
    <cellStyle name="T_DU AN TKQH VA CHUAN BI DAU TU NAM 2007 sua ngay 9-11" xfId="1946"/>
    <cellStyle name="T_DU AN TKQH VA CHUAN BI DAU TU NAM 2007 sua ngay 9-11_131114- Bieu giao du toan CTMTQG 2014 giao" xfId="1947"/>
    <cellStyle name="T_DU AN TKQH VA CHUAN BI DAU TU NAM 2007 sua ngay 9-11_Bieu mau danh muc du an thuoc CTMTQG nam 2008" xfId="1948"/>
    <cellStyle name="T_DU AN TKQH VA CHUAN BI DAU TU NAM 2007 sua ngay 9-11_Bieu mau danh muc du an thuoc CTMTQG nam 2008_131114- Bieu giao du toan CTMTQG 2014 giao" xfId="1949"/>
    <cellStyle name="T_DU AN TKQH VA CHUAN BI DAU TU NAM 2007 sua ngay 9-11_Book1" xfId="1950"/>
    <cellStyle name="T_DU AN TKQH VA CHUAN BI DAU TU NAM 2007 sua ngay 9-11_Book1_BIEU MAU KE HOACH KINH TE XA HOI NAM 2013(2)" xfId="1951"/>
    <cellStyle name="T_DU AN TKQH VA CHUAN BI DAU TU NAM 2007 sua ngay 9-11_Book1_Book2" xfId="1952"/>
    <cellStyle name="T_DU AN TKQH VA CHUAN BI DAU TU NAM 2007 sua ngay 9-11_Book1_Book4" xfId="1953"/>
    <cellStyle name="T_DU AN TKQH VA CHUAN BI DAU TU NAM 2007 sua ngay 9-11_Book1_Book5" xfId="1954"/>
    <cellStyle name="T_DU AN TKQH VA CHUAN BI DAU TU NAM 2007 sua ngay 9-11_Book1_KH KTXH NAM 2014" xfId="1955"/>
    <cellStyle name="T_DU AN TKQH VA CHUAN BI DAU TU NAM 2007 sua ngay 9-11_Book1_KH KTXH NAM 2014-1" xfId="1956"/>
    <cellStyle name="T_DU AN TKQH VA CHUAN BI DAU TU NAM 2007 sua ngay 9-11_Du an khoi cong moi nam 2010" xfId="1957"/>
    <cellStyle name="T_DU AN TKQH VA CHUAN BI DAU TU NAM 2007 sua ngay 9-11_Du an khoi cong moi nam 2010_131114- Bieu giao du toan CTMTQG 2014 giao" xfId="1958"/>
    <cellStyle name="T_DU AN TKQH VA CHUAN BI DAU TU NAM 2007 sua ngay 9-11_Du thao Ke hoach 2011_BC Ban KTNS" xfId="1959"/>
    <cellStyle name="T_DU AN TKQH VA CHUAN BI DAU TU NAM 2007 sua ngay 9-11_Du thao Ke hoach 2011_BC Ban KTNS_BIEU MAU KE HOACH KINH TE XA HOI NAM 2013(2)" xfId="1960"/>
    <cellStyle name="T_DU AN TKQH VA CHUAN BI DAU TU NAM 2007 sua ngay 9-11_Du thao Ke hoach 2011_BC Ban KTNS_Book2" xfId="1961"/>
    <cellStyle name="T_DU AN TKQH VA CHUAN BI DAU TU NAM 2007 sua ngay 9-11_Du thao Ke hoach 2011_BC Ban KTNS_Book4" xfId="1962"/>
    <cellStyle name="T_DU AN TKQH VA CHUAN BI DAU TU NAM 2007 sua ngay 9-11_Du thao Ke hoach 2011_BC Ban KTNS_Book5" xfId="1963"/>
    <cellStyle name="T_DU AN TKQH VA CHUAN BI DAU TU NAM 2007 sua ngay 9-11_Du thao Ke hoach 2011_BC Ban KTNS_KH KTXH NAM 2014" xfId="1964"/>
    <cellStyle name="T_DU AN TKQH VA CHUAN BI DAU TU NAM 2007 sua ngay 9-11_Du thao Ke hoach 2011_BC Ban KTNS_KH KTXH NAM 2014-1" xfId="1965"/>
    <cellStyle name="T_DU AN TKQH VA CHUAN BI DAU TU NAM 2007 sua ngay 9-11_Ket qua phan bo von nam 2008" xfId="1966"/>
    <cellStyle name="T_DU AN TKQH VA CHUAN BI DAU TU NAM 2007 sua ngay 9-11_Ket qua phan bo von nam 2008_131114- Bieu giao du toan CTMTQG 2014 giao" xfId="1967"/>
    <cellStyle name="T_DU AN TKQH VA CHUAN BI DAU TU NAM 2007 sua ngay 9-11_Ket qua phan bo von nam 2008_BIEU MAU KE HOACH KINH TE XA HOI NAM 2013(2)" xfId="1968"/>
    <cellStyle name="T_DU AN TKQH VA CHUAN BI DAU TU NAM 2007 sua ngay 9-11_Ket qua phan bo von nam 2008_Book2" xfId="1969"/>
    <cellStyle name="T_DU AN TKQH VA CHUAN BI DAU TU NAM 2007 sua ngay 9-11_Ket qua phan bo von nam 2008_Book4" xfId="1970"/>
    <cellStyle name="T_DU AN TKQH VA CHUAN BI DAU TU NAM 2007 sua ngay 9-11_Ket qua phan bo von nam 2008_Book5" xfId="1971"/>
    <cellStyle name="T_DU AN TKQH VA CHUAN BI DAU TU NAM 2007 sua ngay 9-11_Ket qua phan bo von nam 2008_KH KTXH NAM 2014" xfId="1972"/>
    <cellStyle name="T_DU AN TKQH VA CHUAN BI DAU TU NAM 2007 sua ngay 9-11_Ket qua phan bo von nam 2008_KH KTXH NAM 2014-1" xfId="1973"/>
    <cellStyle name="T_DU AN TKQH VA CHUAN BI DAU TU NAM 2007 sua ngay 9-11_KH XDCB_2008 lan 2 sua ngay 10-11" xfId="1974"/>
    <cellStyle name="T_DU AN TKQH VA CHUAN BI DAU TU NAM 2007 sua ngay 9-11_KH XDCB_2008 lan 2 sua ngay 10-11_131114- Bieu giao du toan CTMTQG 2014 giao" xfId="1975"/>
    <cellStyle name="T_DU AN TKQH VA CHUAN BI DAU TU NAM 2007 sua ngay 9-11_KH XDCB_2008 lan 2 sua ngay 10-11_BIEU MAU KE HOACH KINH TE XA HOI NAM 2013(2)" xfId="1976"/>
    <cellStyle name="T_DU AN TKQH VA CHUAN BI DAU TU NAM 2007 sua ngay 9-11_KH XDCB_2008 lan 2 sua ngay 10-11_Book2" xfId="1977"/>
    <cellStyle name="T_DU AN TKQH VA CHUAN BI DAU TU NAM 2007 sua ngay 9-11_KH XDCB_2008 lan 2 sua ngay 10-11_Book4" xfId="1978"/>
    <cellStyle name="T_DU AN TKQH VA CHUAN BI DAU TU NAM 2007 sua ngay 9-11_KH XDCB_2008 lan 2 sua ngay 10-11_Book5" xfId="1979"/>
    <cellStyle name="T_DU AN TKQH VA CHUAN BI DAU TU NAM 2007 sua ngay 9-11_KH XDCB_2008 lan 2 sua ngay 10-11_KH KTXH NAM 2014" xfId="1980"/>
    <cellStyle name="T_DU AN TKQH VA CHUAN BI DAU TU NAM 2007 sua ngay 9-11_KH XDCB_2008 lan 2 sua ngay 10-11_KH KTXH NAM 2014-1" xfId="1981"/>
    <cellStyle name="T_du toan dieu chinh  20-8-2006" xfId="1989"/>
    <cellStyle name="T_du toan dieu chinh  20-8-2006_131114- Bieu giao du toan CTMTQG 2014 giao" xfId="1990"/>
    <cellStyle name="T_Du thao Ke hoach 2011_BC Ban KTNS" xfId="1982"/>
    <cellStyle name="T_Du thao Ke hoach 2011_BC Ban KTNS_BIEU MAU KE HOACH KINH TE XA HOI NAM 2013(2)" xfId="1983"/>
    <cellStyle name="T_Du thao Ke hoach 2011_BC Ban KTNS_Book2" xfId="1984"/>
    <cellStyle name="T_Du thao Ke hoach 2011_BC Ban KTNS_Book4" xfId="1985"/>
    <cellStyle name="T_Du thao Ke hoach 2011_BC Ban KTNS_Book5" xfId="1986"/>
    <cellStyle name="T_Du thao Ke hoach 2011_BC Ban KTNS_KH KTXH NAM 2014" xfId="1987"/>
    <cellStyle name="T_Du thao Ke hoach 2011_BC Ban KTNS_KH KTXH NAM 2014-1" xfId="1988"/>
    <cellStyle name="T_Ho so DT thu NSNN nam 2014 (V1)" xfId="1991"/>
    <cellStyle name="T_Ho so DT thu NSNN nam 2014 (V1)_Von ngoai nuoc" xfId="1992"/>
    <cellStyle name="T_Ht-PTq1-03" xfId="1993"/>
    <cellStyle name="T_Ht-PTq1-03_131114- Bieu giao du toan CTMTQG 2014 giao" xfId="1994"/>
    <cellStyle name="T_Ke hoach KTXH  nam 2009_PKT thang 11 nam 2008" xfId="1995"/>
    <cellStyle name="T_Ke hoach KTXH  nam 2009_PKT thang 11 nam 2008_131114- Bieu giao du toan CTMTQG 2014 giao" xfId="1996"/>
    <cellStyle name="T_Ket qua dau thau" xfId="1997"/>
    <cellStyle name="T_Ket qua dau thau_131114- Bieu giao du toan CTMTQG 2014 giao" xfId="1998"/>
    <cellStyle name="T_Ket qua phan bo von nam 2008" xfId="1999"/>
    <cellStyle name="T_Ket qua phan bo von nam 2008_131114- Bieu giao du toan CTMTQG 2014 giao" xfId="2000"/>
    <cellStyle name="T_Ket qua phan bo von nam 2008_BIEU MAU KE HOACH KINH TE XA HOI NAM 2013(2)" xfId="2001"/>
    <cellStyle name="T_Ket qua phan bo von nam 2008_Book2" xfId="2002"/>
    <cellStyle name="T_Ket qua phan bo von nam 2008_Book4" xfId="2003"/>
    <cellStyle name="T_Ket qua phan bo von nam 2008_Book5" xfId="2004"/>
    <cellStyle name="T_Ket qua phan bo von nam 2008_KH KTXH NAM 2014" xfId="2005"/>
    <cellStyle name="T_Ket qua phan bo von nam 2008_KH KTXH NAM 2014-1" xfId="2006"/>
    <cellStyle name="T_KH XDCB 18-6-2010" xfId="2007"/>
    <cellStyle name="T_KH XDCB 2009" xfId="2008"/>
    <cellStyle name="T_KH XDCB_2008 lan 2 sua ngay 10-11" xfId="2009"/>
    <cellStyle name="T_KH XDCB_2008 lan 2 sua ngay 10-11_131114- Bieu giao du toan CTMTQG 2014 giao" xfId="2010"/>
    <cellStyle name="T_KH XDCB_2008 lan 2 sua ngay 10-11_BIEU MAU KE HOACH KINH TE XA HOI NAM 2013(2)" xfId="2011"/>
    <cellStyle name="T_KH XDCB_2008 lan 2 sua ngay 10-11_Book2" xfId="2012"/>
    <cellStyle name="T_KH XDCB_2008 lan 2 sua ngay 10-11_Book4" xfId="2013"/>
    <cellStyle name="T_KH XDCB_2008 lan 2 sua ngay 10-11_Book5" xfId="2014"/>
    <cellStyle name="T_KH XDCB_2008 lan 2 sua ngay 10-11_KH KTXH NAM 2014" xfId="2015"/>
    <cellStyle name="T_KH XDCB_2008 lan 2 sua ngay 10-11_KH KTXH NAM 2014-1" xfId="2016"/>
    <cellStyle name="T_KHKT_tong_quat_BK_(Pb_20.3)(1) (1)" xfId="2017"/>
    <cellStyle name="T_Lap gia BS Da Nang" xfId="2018"/>
    <cellStyle name="T_May tron be tong" xfId="2019"/>
    <cellStyle name="T_May tron be tong_2. Du toan dieu chinh 2016 xã phường 09-11" xfId="2020"/>
    <cellStyle name="T_May tron be tong_2. Du toan dieu chinh 2016 xã phường 09-11_3. Biểu Chi QT 2016" xfId="2021"/>
    <cellStyle name="T_May tron be tong_3. Biểu Chi QT 2016" xfId="2022"/>
    <cellStyle name="T_May tron be tong_3. Biểu QT Chi nam 2016 -bieu 5, 6, 7, 8, 9" xfId="2023"/>
    <cellStyle name="T_May tron be tong_3. Cac bieu QT chi NSNN 2015 tu B05-09" xfId="2024"/>
    <cellStyle name="T_May tron be tong_Bieu dieu chinh NS nam 2015 da sua - Chuan" xfId="2026"/>
    <cellStyle name="T_May tron be tong_Bieu dieu chinh NS nam 2015 da sua - Chuan_3. Biểu Chi QT 2016" xfId="2027"/>
    <cellStyle name="T_May tron be tong_biểu chi xp x (1)" xfId="2025"/>
    <cellStyle name="T_Me_Tri_6_07" xfId="2028"/>
    <cellStyle name="T_Me_Tri_6_07_131114- Bieu giao du toan CTMTQG 2014 giao" xfId="2029"/>
    <cellStyle name="T_Muc thu-chi KB Ha Tay" xfId="2030"/>
    <cellStyle name="T_Muc thu-chi KB Ha Tay_KHKT_tong_quat_BK_(Pb_20.3)(1) (1)" xfId="2031"/>
    <cellStyle name="T_Muc thu-chi KB Ha Tay_PL 2 (Nhan su)" xfId="2032"/>
    <cellStyle name="T_Muc thu-chi KB Ha Tay_PL1 " xfId="2033"/>
    <cellStyle name="T_N2 thay dat (N1-1)" xfId="2034"/>
    <cellStyle name="T_N2 thay dat (N1-1)_131114- Bieu giao du toan CTMTQG 2014 giao" xfId="2035"/>
    <cellStyle name="T_Nguonchuyensodutamung2008sang2009(Thuong)" xfId="2036"/>
    <cellStyle name="T_PL 2 (Nhan su)" xfId="2039"/>
    <cellStyle name="T_PL du toan chi 2015" xfId="2040"/>
    <cellStyle name="T_PL du toan chi 2015_2. Du toan dieu chinh 2016 xã phường 09-11" xfId="2041"/>
    <cellStyle name="T_PL du toan chi 2015_2. Du toan dieu chinh 2016 xã phường 09-11_3. Biểu Chi QT 2016" xfId="2042"/>
    <cellStyle name="T_PL du toan chi 2015_3. Biểu Chi QT 2016" xfId="2043"/>
    <cellStyle name="T_PL du toan chi 2015_3. Biểu QT Chi nam 2016 -bieu 5, 6, 7, 8, 9" xfId="2044"/>
    <cellStyle name="T_PL du toan chi 2015_3. Cac bieu QT chi NSNN 2015 tu B05-09" xfId="2045"/>
    <cellStyle name="T_PL du toan chi 2015_Bieu dieu chinh NS nam 2015 da sua - Chuan" xfId="2047"/>
    <cellStyle name="T_PL du toan chi 2015_Bieu dieu chinh NS nam 2015 da sua - Chuan_3. Biểu Chi QT 2016" xfId="2048"/>
    <cellStyle name="T_PL du toan chi 2015_biểu chi xp x (1)" xfId="2046"/>
    <cellStyle name="T_PL1 " xfId="2049"/>
    <cellStyle name="T_Phuong an can doi nam 2008" xfId="2037"/>
    <cellStyle name="T_Phuong an can doi nam 2008_131114- Bieu giao du toan CTMTQG 2014 giao" xfId="2038"/>
    <cellStyle name="T_QT di chuyen ca phe" xfId="2050"/>
    <cellStyle name="T_QTQuy2-2005" xfId="2051"/>
    <cellStyle name="T_QTQuy2-2005_Bangtheodoicongviec" xfId="2052"/>
    <cellStyle name="T_QTQuy2-2005_bc KB den ngay 15122010" xfId="2053"/>
    <cellStyle name="T_QTQuy2-2005_Nguonchuyensodutamung2008sang2009(Thuong)" xfId="2054"/>
    <cellStyle name="T_QTQuy2-2005_TABMIS 16.12.10" xfId="2055"/>
    <cellStyle name="T_QTQuy2-2005_TABMIS chuyen nguon" xfId="2056"/>
    <cellStyle name="T_QTQuy2-2005_TAM UNG 2010 (31.12.2010) Q IN BC" xfId="2057"/>
    <cellStyle name="T_QTQuy2-2005_tham tra" xfId="2058"/>
    <cellStyle name="T_Quyết toán vốn NSTP 2017 - Gửi chị Huyền" xfId="2059"/>
    <cellStyle name="T_Seagame(BTL)" xfId="2060"/>
    <cellStyle name="T_So GTVT" xfId="2061"/>
    <cellStyle name="T_So GTVT_131114- Bieu giao du toan CTMTQG 2014 giao" xfId="2062"/>
    <cellStyle name="T_TABMIS 16.12.10" xfId="2063"/>
    <cellStyle name="T_TABMIS chuyen nguon" xfId="2064"/>
    <cellStyle name="T_TAM UNG 2010 (31.12.2010) Q IN BC" xfId="2065"/>
    <cellStyle name="T_TDT + duong(8-5-07)" xfId="2066"/>
    <cellStyle name="T_TDT + duong(8-5-07)_131114- Bieu giao du toan CTMTQG 2014 giao" xfId="2067"/>
    <cellStyle name="T_tinh truy linh ko ct theo 04" xfId="2101"/>
    <cellStyle name="T_tinh truy linh ko ct theo 04_2. Du toan dieu chinh 2016 xã phường 09-11" xfId="2102"/>
    <cellStyle name="T_tinh truy linh ko ct theo 04_2. Du toan dieu chinh 2016 xã phường 09-11_3. Biểu Chi QT 2016" xfId="2103"/>
    <cellStyle name="T_tinh truy linh ko ct theo 04_3. Biểu Chi QT 2016" xfId="2104"/>
    <cellStyle name="T_tinh truy linh ko ct theo 04_3. Cac bieu QT chi NSNN 2015 tu B05-09" xfId="2105"/>
    <cellStyle name="T_tinh truy linh ko ct theo 04_Bieu dieu chinh NS nam 2015 da sua - Chuan" xfId="2107"/>
    <cellStyle name="T_tinh truy linh ko ct theo 04_Bieu dieu chinh NS nam 2015 da sua - Chuan_3. Biểu Chi QT 2016" xfId="2108"/>
    <cellStyle name="T_tinh truy linh ko ct theo 04_biểu chi xp x (1)" xfId="2106"/>
    <cellStyle name="T_TK_HT" xfId="2109"/>
    <cellStyle name="T_tong hop du toan 2015" xfId="2110"/>
    <cellStyle name="T_tong hop du toan 2015_2. Du toan dieu chinh 2016 xã phường 09-11" xfId="2111"/>
    <cellStyle name="T_tong hop du toan 2015_2. Du toan dieu chinh 2016 xã phường 09-11_3. Biểu Chi QT 2016" xfId="2112"/>
    <cellStyle name="T_tong hop du toan 2015_3. Biểu Chi QT 2016" xfId="2113"/>
    <cellStyle name="T_tong hop du toan 2015_3. Cac bieu QT chi NSNN 2015 tu B05-09" xfId="2114"/>
    <cellStyle name="T_tong hop du toan 2015_Bieu dieu chinh NS nam 2015 da sua - Chuan" xfId="2116"/>
    <cellStyle name="T_tong hop du toan 2015_Bieu dieu chinh NS nam 2015 da sua - Chuan_3. Biểu Chi QT 2016" xfId="2117"/>
    <cellStyle name="T_tong hop du toan 2015_biểu chi xp x (1)" xfId="2115"/>
    <cellStyle name="T_Tongdutoans" xfId="2118"/>
    <cellStyle name="T_TH KL 192" xfId="2068"/>
    <cellStyle name="T_TH KL 192_2. Du toan dieu chinh 2016 xã phường 09-11" xfId="2069"/>
    <cellStyle name="T_TH KL 192_2. Du toan dieu chinh 2016 xã phường 09-11_3. Biểu Chi QT 2016" xfId="2070"/>
    <cellStyle name="T_TH KL 192_3. Biểu Chi QT 2016" xfId="2071"/>
    <cellStyle name="T_TH KL 192_3. Biểu QT Chi nam 2016 -bieu 5, 6, 7, 8, 9" xfId="2072"/>
    <cellStyle name="T_TH KL 192_3. Cac bieu QT chi NSNN 2015 tu B05-09" xfId="2073"/>
    <cellStyle name="T_TH KL 192_Bieu dieu chinh NS nam 2015 da sua - Chuan" xfId="2075"/>
    <cellStyle name="T_TH KL 192_Bieu dieu chinh NS nam 2015 da sua - Chuan_3. Biểu Chi QT 2016" xfId="2076"/>
    <cellStyle name="T_TH KL 192_biểu chi xp x (1)" xfId="2074"/>
    <cellStyle name="T_Th¸ng 01" xfId="2077"/>
    <cellStyle name="T_Th¸ng 01_2. Du toan dieu chinh 2016 xã phường 09-11" xfId="2078"/>
    <cellStyle name="T_Th¸ng 01_2. Du toan dieu chinh 2016 xã phường 09-11_3. Biểu Chi QT 2016" xfId="2079"/>
    <cellStyle name="T_Th¸ng 01_3. Biểu Chi QT 2016" xfId="2080"/>
    <cellStyle name="T_Th¸ng 01_3. Biểu QT Chi nam 2016 -bieu 5, 6, 7, 8, 9" xfId="2081"/>
    <cellStyle name="T_Th¸ng 01_3. Cac bieu QT chi NSNN 2015 tu B05-09" xfId="2082"/>
    <cellStyle name="T_Th¸ng 01_Bieu dieu chinh NS nam 2015 da sua - Chuan" xfId="2084"/>
    <cellStyle name="T_Th¸ng 01_Bieu dieu chinh NS nam 2015 da sua - Chuan_3. Biểu Chi QT 2016" xfId="2085"/>
    <cellStyle name="T_Th¸ng 01_biểu chi xp x (1)" xfId="2083"/>
    <cellStyle name="T_tham tra" xfId="2086"/>
    <cellStyle name="T_tham_tra_du_toan" xfId="2087"/>
    <cellStyle name="T_tham_tra_du_toan_131114- Bieu giao du toan CTMTQG 2014 giao" xfId="2088"/>
    <cellStyle name="T_thao luan dtoan 2015 cdan" xfId="2089"/>
    <cellStyle name="T_thao luan dtoan 2015 cdan_2. Du toan dieu chinh 2016 xã phường 09-11" xfId="2090"/>
    <cellStyle name="T_thao luan dtoan 2015 cdan_2. Du toan dieu chinh 2016 xã phường 09-11_3. Biểu Chi QT 2016" xfId="2091"/>
    <cellStyle name="T_thao luan dtoan 2015 cdan_3. Biểu Chi QT 2016" xfId="2092"/>
    <cellStyle name="T_thao luan dtoan 2015 cdan_3. Biểu QT Chi nam 2016 -bieu 5, 6, 7, 8, 9" xfId="2093"/>
    <cellStyle name="T_thao luan dtoan 2015 cdan_3. Cac bieu QT chi NSNN 2015 tu B05-09" xfId="2094"/>
    <cellStyle name="T_thao luan dtoan 2015 cdan_Bieu dieu chinh NS nam 2015 da sua - Chuan" xfId="2096"/>
    <cellStyle name="T_thao luan dtoan 2015 cdan_Bieu dieu chinh NS nam 2015 da sua - Chuan_3. Biểu Chi QT 2016" xfId="2097"/>
    <cellStyle name="T_thao luan dtoan 2015 cdan_biểu chi xp x (1)" xfId="2095"/>
    <cellStyle name="T_Thiet bi" xfId="2098"/>
    <cellStyle name="T_Thiet bi_131114- Bieu giao du toan CTMTQG 2014 giao" xfId="2099"/>
    <cellStyle name="T_Thu chi" xfId="2100"/>
    <cellStyle name="T_Von ngoai nuoc" xfId="2119"/>
    <cellStyle name="T_ÿÿÿÿÿ" xfId="2120"/>
    <cellStyle name="T_ÿÿÿÿÿ_131114- Bieu giao du toan CTMTQG 2014 giao" xfId="2121"/>
    <cellStyle name="T_" xfId="2122"/>
    <cellStyle name="T__1" xfId="2123"/>
    <cellStyle name="T__BAO CAO 13 THANG2010 (THEO NGUON)1502" xfId="2124"/>
    <cellStyle name="T__TABMIS chuyen nguon" xfId="2125"/>
    <cellStyle name="T__TAM UNG 2010 (31.12.2010) Q IN BC" xfId="2126"/>
    <cellStyle name="T__" xfId="2127"/>
    <cellStyle name="t1" xfId="2128"/>
    <cellStyle name="tde" xfId="2129"/>
    <cellStyle name="Text Indent A" xfId="2130"/>
    <cellStyle name="Text Indent B" xfId="2131"/>
    <cellStyle name="Text Indent C" xfId="2132"/>
    <cellStyle name="Tiªu ®Ì" xfId="2155"/>
    <cellStyle name="Tien1" xfId="2156"/>
    <cellStyle name="Tieu_de_2" xfId="2158"/>
    <cellStyle name="Tiêu đề 2" xfId="2157"/>
    <cellStyle name="Times New Roman" xfId="2159"/>
    <cellStyle name="Tính toán 2" xfId="2160"/>
    <cellStyle name="TiÓu môc" xfId="2161"/>
    <cellStyle name="tit1" xfId="2162"/>
    <cellStyle name="tit2" xfId="2163"/>
    <cellStyle name="tit3" xfId="2164"/>
    <cellStyle name="tit4" xfId="2165"/>
    <cellStyle name="Title 2" xfId="2166"/>
    <cellStyle name="Title 3" xfId="2167"/>
    <cellStyle name="Title 3 2" xfId="2168"/>
    <cellStyle name="Title 4" xfId="2169"/>
    <cellStyle name="Tong so" xfId="2171"/>
    <cellStyle name="tong so 1" xfId="2172"/>
    <cellStyle name="Tong so_3. Biểu Chi QT 2016" xfId="2173"/>
    <cellStyle name="Tongcong" xfId="2174"/>
    <cellStyle name="Total 2" xfId="2175"/>
    <cellStyle name="Total 2 2" xfId="2176"/>
    <cellStyle name="Total 2 3" xfId="2177"/>
    <cellStyle name="Total 3" xfId="2178"/>
    <cellStyle name="Total 3 2" xfId="2179"/>
    <cellStyle name="Total 4" xfId="2180"/>
    <cellStyle name="Total 5" xfId="2181"/>
    <cellStyle name="Tổng 2" xfId="2170"/>
    <cellStyle name="tt1" xfId="2183"/>
    <cellStyle name="Tusental (0)_pldt" xfId="2184"/>
    <cellStyle name="Tusental_pldt" xfId="2185"/>
    <cellStyle name="th" xfId="2133"/>
    <cellStyle name="th 2" xfId="2134"/>
    <cellStyle name="th 2 2" xfId="2135"/>
    <cellStyle name="th 2_KHKT_tong_quat_BK_(Pb_20.3)(1) (1)" xfId="2136"/>
    <cellStyle name="th 3" xfId="2137"/>
    <cellStyle name="th 4" xfId="2138"/>
    <cellStyle name="th 5" xfId="2139"/>
    <cellStyle name="th 6" xfId="2140"/>
    <cellStyle name="th 7" xfId="2141"/>
    <cellStyle name="th 8" xfId="2142"/>
    <cellStyle name="th_KHKT_tong_quat_BK_(Pb_20.3)(1) (1)" xfId="2143"/>
    <cellStyle name="than" xfId="2144"/>
    <cellStyle name="þ_x001d_ð¤_x000c_¯þ_x0014__x000d_¨þU_x0001_À_x0004_ _x0015__x000f__x0001__x0001_" xfId="2145"/>
    <cellStyle name="þ_x001d_ð·_x000c_æþ'_x000d_ßþU_x0001_Ø_x0005_ü_x0014__x0007__x0001__x0001_" xfId="2146"/>
    <cellStyle name="þ_x001d_ð·_x000c_æþ'_x000d_ßþU_x0001_Ø_x0005_ü_x0014__x0007__x0001__x0001_ 2" xfId="2147"/>
    <cellStyle name="þ_x001d_ð·_x000c_æþ'_x000d_ßþU_x0001_Ø_x0005_ü_x0014__x0007__x0001__x0001__KHKT_tong_quat_BK_(Pb_20.3)(1) (1)" xfId="2148"/>
    <cellStyle name="þ_x001d_ðÇ%Uý—&amp;Hý9_x0008_Ÿ s_x000a__x0007__x0001__x0001_" xfId="2149"/>
    <cellStyle name="þ_x001d_ðÇ%Uý—&amp;Hý9_x0008_Ÿ_x0009_s_x000a__x0007__x0001__x0001_" xfId="2150"/>
    <cellStyle name="þ_x001d_ðK_x000c_Fý_x001b__x000d_9ýU_x0001_Ð_x0008_¦)_x0007__x0001__x0001_" xfId="2151"/>
    <cellStyle name="thuong-10" xfId="2152"/>
    <cellStyle name="thuong-11" xfId="2153"/>
    <cellStyle name="Thuyet minh" xfId="2154"/>
    <cellStyle name="trang" xfId="2182"/>
    <cellStyle name="ux_3_¼­¿ï-¾È»ê" xfId="2186"/>
    <cellStyle name="Valuta (0)_pldt" xfId="2187"/>
    <cellStyle name="Valuta_pldt" xfId="2188"/>
    <cellStyle name="VANG1" xfId="2190"/>
    <cellStyle name="Văn bản Cảnh báo 2" xfId="2189"/>
    <cellStyle name="viet" xfId="2191"/>
    <cellStyle name="viet 2" xfId="2192"/>
    <cellStyle name="viet 2 2" xfId="2193"/>
    <cellStyle name="viet 2_KHKT_tong_quat_BK_(Pb_20.3)(1) (1)" xfId="2194"/>
    <cellStyle name="viet 3" xfId="2195"/>
    <cellStyle name="viet 4" xfId="2196"/>
    <cellStyle name="viet 5" xfId="2197"/>
    <cellStyle name="viet 6" xfId="2198"/>
    <cellStyle name="viet 7" xfId="2199"/>
    <cellStyle name="viet 8" xfId="2200"/>
    <cellStyle name="viet_Quyết toán vốn NSTP 2017 - Gửi chị Huyền" xfId="2201"/>
    <cellStyle name="viet2" xfId="2202"/>
    <cellStyle name="viet2 2" xfId="2203"/>
    <cellStyle name="viet2 2 2" xfId="2204"/>
    <cellStyle name="viet2 2_KHKT_tong_quat_BK_(Pb_20.3)(1) (1)" xfId="2205"/>
    <cellStyle name="viet2 3" xfId="2206"/>
    <cellStyle name="viet2 4" xfId="2207"/>
    <cellStyle name="viet2 5" xfId="2208"/>
    <cellStyle name="viet2 6" xfId="2209"/>
    <cellStyle name="viet2 7" xfId="2210"/>
    <cellStyle name="viet2 8" xfId="2211"/>
    <cellStyle name="viet2_KHKT_tong_quat_BK_(Pb_20.3)(1) (1)" xfId="2212"/>
    <cellStyle name="VN new romanNormal" xfId="2213"/>
    <cellStyle name="VN new romanNormal 2" xfId="2214"/>
    <cellStyle name="VN new romanNormal 3" xfId="2215"/>
    <cellStyle name="Vn Time 13" xfId="2216"/>
    <cellStyle name="Vn Time 14" xfId="2217"/>
    <cellStyle name="VN time new roman" xfId="2218"/>
    <cellStyle name="VN time new roman 2" xfId="2219"/>
    <cellStyle name="VN time new roman 3" xfId="2220"/>
    <cellStyle name="vnbo" xfId="2221"/>
    <cellStyle name="VNlucida sans" xfId="2226"/>
    <cellStyle name="vntxt1" xfId="2227"/>
    <cellStyle name="vntxt2" xfId="2228"/>
    <cellStyle name="vnhead1" xfId="2222"/>
    <cellStyle name="vnhead2" xfId="2223"/>
    <cellStyle name="vnhead3" xfId="2224"/>
    <cellStyle name="vnhead4" xfId="2225"/>
    <cellStyle name="W?hrung [0]_35ERI8T2gbIEMixb4v26icuOo" xfId="2229"/>
    <cellStyle name="W?hrung_35ERI8T2gbIEMixb4v26icuOo" xfId="2230"/>
    <cellStyle name="Währung [0]_ALLE_ITEMS_280800_EV_NL" xfId="2231"/>
    <cellStyle name="Währung_AKE_100N" xfId="2232"/>
    <cellStyle name="Walutowy [0]_Invoices2001Slovakia" xfId="2233"/>
    <cellStyle name="Walutowy_Invoices2001Slovakia" xfId="2234"/>
    <cellStyle name="Warning Text 2" xfId="2235"/>
    <cellStyle name="Warning Text 3" xfId="2236"/>
    <cellStyle name="Warning Text 4" xfId="2237"/>
    <cellStyle name="wrap" xfId="2238"/>
    <cellStyle name="Wไhrung [0]_35ERI8T2gbIEMixb4v26icuOo" xfId="2239"/>
    <cellStyle name="Wไhrung_35ERI8T2gbIEMixb4v26icuOo" xfId="2240"/>
    <cellStyle name="xan1" xfId="2241"/>
    <cellStyle name="xuan" xfId="2242"/>
    <cellStyle name="y" xfId="2243"/>
    <cellStyle name="Ý kh¸c_B¶ng 1 (2)" xfId="2244"/>
    <cellStyle name="เครื่องหมายสกุลเงิน [0]_FTC_OFFER" xfId="2245"/>
    <cellStyle name="เครื่องหมายสกุลเงิน_FTC_OFFER" xfId="2246"/>
    <cellStyle name="ปกติ_FTC_OFFER" xfId="2247"/>
    <cellStyle name=" [0.00]_ Att. 1- Cover" xfId="2248"/>
    <cellStyle name="_ Att. 1- Cover" xfId="2249"/>
    <cellStyle name="?_ Att. 1- Cover" xfId="2250"/>
    <cellStyle name="똿뗦먛귟 [0.00]_PRODUCT DETAIL Q1" xfId="2251"/>
    <cellStyle name="똿뗦먛귟_PRODUCT DETAIL Q1" xfId="2252"/>
    <cellStyle name="믅됞 [0.00]_PRODUCT DETAIL Q1" xfId="2253"/>
    <cellStyle name="믅됞_PRODUCT DETAIL Q1" xfId="2254"/>
    <cellStyle name="백분율_††††† " xfId="2255"/>
    <cellStyle name="뷭?_BOOKSHIP" xfId="2256"/>
    <cellStyle name="안건회계법인" xfId="2257"/>
    <cellStyle name="콤맀_Sheet1_총괄표 (수출입) (2)" xfId="2258"/>
    <cellStyle name="콤마 [ - 유형1" xfId="2259"/>
    <cellStyle name="콤마 [ - 유형2" xfId="2260"/>
    <cellStyle name="콤마 [ - 유형3" xfId="2261"/>
    <cellStyle name="콤마 [ - 유형4" xfId="2262"/>
    <cellStyle name="콤마 [ - 유형5" xfId="2263"/>
    <cellStyle name="콤마 [ - 유형6" xfId="2264"/>
    <cellStyle name="콤마 [ - 유형7" xfId="2265"/>
    <cellStyle name="콤마 [ - 유형8" xfId="2266"/>
    <cellStyle name="콤마 [0]_ 비목별 월별기술 " xfId="2267"/>
    <cellStyle name="콤마_ 비목별 월별기술 " xfId="2268"/>
    <cellStyle name="통화 [0]_††††† " xfId="2269"/>
    <cellStyle name="통화_††††† " xfId="2270"/>
    <cellStyle name="표섀_변경(최종)" xfId="2271"/>
    <cellStyle name="표준_ 97년 경영분석(안)" xfId="2272"/>
    <cellStyle name="표줠_Sheet1_1_총괄표 (수출입) (2)" xfId="2273"/>
    <cellStyle name="一般_00Q3902REV.1" xfId="2274"/>
    <cellStyle name="千分位[0]_00Q3902REV.1" xfId="2275"/>
    <cellStyle name="千分位_00Q3902REV.1" xfId="2276"/>
    <cellStyle name="常规_GL ACM Master OCT08" xfId="2277"/>
    <cellStyle name="桁区切り [0.00]_BE-BQ" xfId="2278"/>
    <cellStyle name="桁区切り_BE-BQ" xfId="2279"/>
    <cellStyle name="標準_(A1)BOQ " xfId="2280"/>
    <cellStyle name="貨幣 [0]_00Q3902REV.1" xfId="2281"/>
    <cellStyle name="貨幣[0]_BRE" xfId="2282"/>
    <cellStyle name="貨幣_00Q3902REV.1" xfId="2283"/>
    <cellStyle name="通貨 [0.00]_BE-BQ" xfId="2284"/>
    <cellStyle name="通貨_BE-BQ" xfId="22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HP\Documents\Zalo%20Received%20Files\&#272;&#7846;U%20T&#4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V"/>
      <sheetName val="Biểu 04-QTNĐ, huyện, xã"/>
      <sheetName val="Biểu 04-QTNĐ tỉnh"/>
      <sheetName val="Phụ lục I"/>
      <sheetName val="Phụ lục II"/>
      <sheetName val="Sheet1"/>
    </sheetNames>
    <sheetDataSet>
      <sheetData sheetId="0" refreshError="1"/>
      <sheetData sheetId="1" refreshError="1">
        <row r="116">
          <cell r="I116">
            <v>12890000</v>
          </cell>
        </row>
        <row r="153">
          <cell r="O153">
            <v>2551123813</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103"/>
  <sheetViews>
    <sheetView topLeftCell="A73" workbookViewId="0">
      <selection activeCell="G83" sqref="G83"/>
    </sheetView>
  </sheetViews>
  <sheetFormatPr defaultColWidth="9.28515625" defaultRowHeight="15.75"/>
  <cols>
    <col min="1" max="1" width="18.7109375" style="6" customWidth="1"/>
    <col min="2" max="2" width="53.28515625" style="5" customWidth="1"/>
    <col min="3" max="3" width="58.42578125" style="5" customWidth="1"/>
    <col min="4" max="4" width="9.28515625" style="4" hidden="1" customWidth="1"/>
    <col min="5" max="5" width="12.7109375" style="4" hidden="1" customWidth="1"/>
    <col min="6" max="16384" width="9.28515625" style="5"/>
  </cols>
  <sheetData>
    <row r="1" spans="1:5" ht="18.75">
      <c r="A1" s="1650" t="s">
        <v>511</v>
      </c>
      <c r="B1" s="1650"/>
      <c r="C1" s="1650"/>
      <c r="D1" s="1650"/>
      <c r="E1" s="1650"/>
    </row>
    <row r="2" spans="1:5" ht="39" customHeight="1">
      <c r="A2" s="1655" t="s">
        <v>144</v>
      </c>
      <c r="B2" s="1655"/>
      <c r="C2" s="1655"/>
      <c r="D2" s="1655"/>
      <c r="E2" s="1655"/>
    </row>
    <row r="3" spans="1:5">
      <c r="A3" s="1656"/>
      <c r="B3" s="1657"/>
      <c r="C3" s="1657"/>
    </row>
    <row r="4" spans="1:5" ht="36" customHeight="1">
      <c r="A4" s="1" t="s">
        <v>449</v>
      </c>
      <c r="B4" s="2" t="s">
        <v>314</v>
      </c>
      <c r="C4" s="2" t="s">
        <v>450</v>
      </c>
      <c r="E4" s="2" t="s">
        <v>448</v>
      </c>
    </row>
    <row r="5" spans="1:5">
      <c r="A5" s="7" t="s">
        <v>500</v>
      </c>
      <c r="B5" s="8" t="s">
        <v>501</v>
      </c>
      <c r="C5" s="9"/>
      <c r="E5" s="19"/>
    </row>
    <row r="6" spans="1:5" ht="20.25" customHeight="1">
      <c r="A6" s="10" t="s">
        <v>502</v>
      </c>
      <c r="B6" s="11" t="s">
        <v>503</v>
      </c>
      <c r="C6" s="1661" t="s">
        <v>504</v>
      </c>
      <c r="E6" s="1651" t="str">
        <f>+IF(D6="x",0,"x")</f>
        <v>x</v>
      </c>
    </row>
    <row r="7" spans="1:5" ht="31.5">
      <c r="A7" s="10" t="s">
        <v>505</v>
      </c>
      <c r="B7" s="11" t="s">
        <v>338</v>
      </c>
      <c r="C7" s="1661"/>
      <c r="E7" s="1651" t="str">
        <f t="shared" ref="E7:E41" si="0">+IF(D7="x",0,"x")</f>
        <v>x</v>
      </c>
    </row>
    <row r="8" spans="1:5" ht="21.75" customHeight="1">
      <c r="A8" s="10" t="s">
        <v>339</v>
      </c>
      <c r="B8" s="11" t="s">
        <v>340</v>
      </c>
      <c r="C8" s="1661"/>
      <c r="E8" s="1651" t="str">
        <f t="shared" si="0"/>
        <v>x</v>
      </c>
    </row>
    <row r="9" spans="1:5" ht="47.25">
      <c r="A9" s="10" t="s">
        <v>341</v>
      </c>
      <c r="B9" s="11" t="s">
        <v>506</v>
      </c>
      <c r="C9" s="11" t="s">
        <v>507</v>
      </c>
      <c r="E9" s="3" t="str">
        <f t="shared" si="0"/>
        <v>x</v>
      </c>
    </row>
    <row r="10" spans="1:5">
      <c r="A10" s="7" t="s">
        <v>508</v>
      </c>
      <c r="B10" s="8" t="s">
        <v>119</v>
      </c>
      <c r="C10" s="9"/>
      <c r="E10" s="19"/>
    </row>
    <row r="11" spans="1:5" ht="39" customHeight="1">
      <c r="A11" s="10" t="s">
        <v>120</v>
      </c>
      <c r="B11" s="11" t="s">
        <v>105</v>
      </c>
      <c r="C11" s="1658" t="s">
        <v>160</v>
      </c>
      <c r="E11" s="1652" t="str">
        <f t="shared" si="0"/>
        <v>x</v>
      </c>
    </row>
    <row r="12" spans="1:5" ht="39" customHeight="1">
      <c r="A12" s="10" t="s">
        <v>106</v>
      </c>
      <c r="B12" s="11" t="s">
        <v>107</v>
      </c>
      <c r="C12" s="1660"/>
      <c r="E12" s="1653" t="str">
        <f t="shared" si="0"/>
        <v>x</v>
      </c>
    </row>
    <row r="13" spans="1:5" ht="47.25">
      <c r="A13" s="10" t="s">
        <v>210</v>
      </c>
      <c r="B13" s="11" t="s">
        <v>138</v>
      </c>
      <c r="C13" s="11" t="s">
        <v>466</v>
      </c>
      <c r="E13" s="3" t="str">
        <f t="shared" si="0"/>
        <v>x</v>
      </c>
    </row>
    <row r="14" spans="1:5" ht="78.75">
      <c r="A14" s="10" t="s">
        <v>139</v>
      </c>
      <c r="B14" s="11" t="s">
        <v>108</v>
      </c>
      <c r="C14" s="11" t="s">
        <v>161</v>
      </c>
      <c r="E14" s="3" t="str">
        <f t="shared" si="0"/>
        <v>x</v>
      </c>
    </row>
    <row r="15" spans="1:5" ht="78.75">
      <c r="A15" s="10" t="s">
        <v>109</v>
      </c>
      <c r="B15" s="11" t="s">
        <v>110</v>
      </c>
      <c r="C15" s="11" t="s">
        <v>161</v>
      </c>
      <c r="E15" s="3" t="str">
        <f t="shared" si="0"/>
        <v>x</v>
      </c>
    </row>
    <row r="16" spans="1:5" ht="78.75">
      <c r="A16" s="10" t="s">
        <v>111</v>
      </c>
      <c r="B16" s="11" t="s">
        <v>112</v>
      </c>
      <c r="C16" s="11" t="s">
        <v>409</v>
      </c>
      <c r="D16" s="4" t="s">
        <v>512</v>
      </c>
      <c r="E16" s="3"/>
    </row>
    <row r="17" spans="1:5" ht="72.75" customHeight="1">
      <c r="A17" s="10" t="s">
        <v>379</v>
      </c>
      <c r="B17" s="11" t="s">
        <v>380</v>
      </c>
      <c r="C17" s="11" t="s">
        <v>447</v>
      </c>
      <c r="E17" s="3" t="str">
        <f t="shared" si="0"/>
        <v>x</v>
      </c>
    </row>
    <row r="18" spans="1:5" ht="94.5">
      <c r="A18" s="10" t="s">
        <v>381</v>
      </c>
      <c r="B18" s="11" t="s">
        <v>380</v>
      </c>
      <c r="C18" s="11" t="s">
        <v>90</v>
      </c>
      <c r="E18" s="3" t="str">
        <f t="shared" si="0"/>
        <v>x</v>
      </c>
    </row>
    <row r="19" spans="1:5" ht="47.25">
      <c r="A19" s="10" t="s">
        <v>382</v>
      </c>
      <c r="B19" s="11" t="s">
        <v>383</v>
      </c>
      <c r="C19" s="11" t="s">
        <v>91</v>
      </c>
      <c r="E19" s="3" t="str">
        <f t="shared" si="0"/>
        <v>x</v>
      </c>
    </row>
    <row r="20" spans="1:5" ht="71.25" customHeight="1">
      <c r="A20" s="10" t="s">
        <v>247</v>
      </c>
      <c r="B20" s="11" t="s">
        <v>384</v>
      </c>
      <c r="C20" s="11" t="s">
        <v>92</v>
      </c>
      <c r="E20" s="3" t="str">
        <f t="shared" si="0"/>
        <v>x</v>
      </c>
    </row>
    <row r="21" spans="1:5" ht="78.75" customHeight="1">
      <c r="A21" s="10" t="s">
        <v>385</v>
      </c>
      <c r="B21" s="11" t="s">
        <v>384</v>
      </c>
      <c r="C21" s="11" t="s">
        <v>280</v>
      </c>
      <c r="E21" s="3" t="str">
        <f t="shared" si="0"/>
        <v>x</v>
      </c>
    </row>
    <row r="22" spans="1:5" ht="63">
      <c r="A22" s="10" t="s">
        <v>386</v>
      </c>
      <c r="B22" s="11" t="s">
        <v>384</v>
      </c>
      <c r="C22" s="11" t="s">
        <v>330</v>
      </c>
      <c r="E22" s="3" t="str">
        <f t="shared" si="0"/>
        <v>x</v>
      </c>
    </row>
    <row r="23" spans="1:5" ht="63">
      <c r="A23" s="10" t="s">
        <v>387</v>
      </c>
      <c r="B23" s="11" t="s">
        <v>384</v>
      </c>
      <c r="C23" s="11" t="s">
        <v>331</v>
      </c>
      <c r="E23" s="3" t="str">
        <f t="shared" si="0"/>
        <v>x</v>
      </c>
    </row>
    <row r="24" spans="1:5" ht="31.5">
      <c r="A24" s="10" t="s">
        <v>388</v>
      </c>
      <c r="B24" s="11" t="s">
        <v>389</v>
      </c>
      <c r="C24" s="1658" t="s">
        <v>466</v>
      </c>
      <c r="E24" s="1652" t="str">
        <f t="shared" si="0"/>
        <v>x</v>
      </c>
    </row>
    <row r="25" spans="1:5">
      <c r="A25" s="10" t="s">
        <v>476</v>
      </c>
      <c r="B25" s="11" t="s">
        <v>477</v>
      </c>
      <c r="C25" s="1659"/>
      <c r="E25" s="1654" t="str">
        <f t="shared" si="0"/>
        <v>x</v>
      </c>
    </row>
    <row r="26" spans="1:5">
      <c r="A26" s="10" t="s">
        <v>478</v>
      </c>
      <c r="B26" s="11" t="s">
        <v>479</v>
      </c>
      <c r="C26" s="1659"/>
      <c r="E26" s="1654" t="str">
        <f t="shared" si="0"/>
        <v>x</v>
      </c>
    </row>
    <row r="27" spans="1:5">
      <c r="A27" s="10" t="s">
        <v>480</v>
      </c>
      <c r="B27" s="11" t="s">
        <v>481</v>
      </c>
      <c r="C27" s="1659"/>
      <c r="E27" s="1654" t="str">
        <f t="shared" si="0"/>
        <v>x</v>
      </c>
    </row>
    <row r="28" spans="1:5" ht="31.5">
      <c r="A28" s="10" t="s">
        <v>482</v>
      </c>
      <c r="B28" s="11" t="s">
        <v>483</v>
      </c>
      <c r="C28" s="1659"/>
      <c r="E28" s="1654" t="str">
        <f t="shared" si="0"/>
        <v>x</v>
      </c>
    </row>
    <row r="29" spans="1:5">
      <c r="A29" s="10" t="s">
        <v>484</v>
      </c>
      <c r="B29" s="11" t="s">
        <v>469</v>
      </c>
      <c r="C29" s="1659"/>
      <c r="E29" s="1654" t="str">
        <f t="shared" si="0"/>
        <v>x</v>
      </c>
    </row>
    <row r="30" spans="1:5">
      <c r="A30" s="10" t="s">
        <v>470</v>
      </c>
      <c r="B30" s="11" t="s">
        <v>185</v>
      </c>
      <c r="C30" s="1659"/>
      <c r="E30" s="1654" t="str">
        <f t="shared" si="0"/>
        <v>x</v>
      </c>
    </row>
    <row r="31" spans="1:5">
      <c r="A31" s="10" t="s">
        <v>186</v>
      </c>
      <c r="B31" s="11" t="s">
        <v>187</v>
      </c>
      <c r="C31" s="1659"/>
      <c r="E31" s="1654" t="str">
        <f t="shared" si="0"/>
        <v>x</v>
      </c>
    </row>
    <row r="32" spans="1:5" ht="31.5">
      <c r="A32" s="10" t="s">
        <v>188</v>
      </c>
      <c r="B32" s="11" t="s">
        <v>189</v>
      </c>
      <c r="C32" s="1659"/>
      <c r="E32" s="1654" t="str">
        <f t="shared" si="0"/>
        <v>x</v>
      </c>
    </row>
    <row r="33" spans="1:5" ht="31.5">
      <c r="A33" s="10" t="s">
        <v>190</v>
      </c>
      <c r="B33" s="11" t="s">
        <v>321</v>
      </c>
      <c r="C33" s="1660"/>
      <c r="E33" s="1653" t="str">
        <f t="shared" si="0"/>
        <v>x</v>
      </c>
    </row>
    <row r="34" spans="1:5" ht="63">
      <c r="A34" s="10" t="s">
        <v>322</v>
      </c>
      <c r="B34" s="11" t="s">
        <v>323</v>
      </c>
      <c r="C34" s="11" t="s">
        <v>332</v>
      </c>
      <c r="E34" s="3" t="str">
        <f t="shared" si="0"/>
        <v>x</v>
      </c>
    </row>
    <row r="35" spans="1:5" ht="31.5">
      <c r="A35" s="10" t="s">
        <v>324</v>
      </c>
      <c r="B35" s="11" t="s">
        <v>325</v>
      </c>
      <c r="C35" s="11" t="s">
        <v>326</v>
      </c>
      <c r="E35" s="3" t="str">
        <f t="shared" si="0"/>
        <v>x</v>
      </c>
    </row>
    <row r="36" spans="1:5" ht="31.5">
      <c r="A36" s="10" t="s">
        <v>327</v>
      </c>
      <c r="B36" s="11" t="s">
        <v>328</v>
      </c>
      <c r="C36" s="1658" t="s">
        <v>466</v>
      </c>
      <c r="E36" s="1652" t="str">
        <f t="shared" si="0"/>
        <v>x</v>
      </c>
    </row>
    <row r="37" spans="1:5" ht="31.5">
      <c r="A37" s="10" t="s">
        <v>329</v>
      </c>
      <c r="B37" s="11" t="s">
        <v>393</v>
      </c>
      <c r="C37" s="1659"/>
      <c r="E37" s="1654" t="str">
        <f t="shared" si="0"/>
        <v>x</v>
      </c>
    </row>
    <row r="38" spans="1:5" ht="31.5">
      <c r="A38" s="10" t="s">
        <v>394</v>
      </c>
      <c r="B38" s="11" t="s">
        <v>208</v>
      </c>
      <c r="C38" s="1660"/>
      <c r="E38" s="1653" t="str">
        <f t="shared" si="0"/>
        <v>x</v>
      </c>
    </row>
    <row r="39" spans="1:5" ht="84" customHeight="1">
      <c r="A39" s="18" t="s">
        <v>297</v>
      </c>
      <c r="B39" s="11" t="s">
        <v>298</v>
      </c>
      <c r="C39" s="11" t="s">
        <v>485</v>
      </c>
      <c r="D39" s="4" t="s">
        <v>512</v>
      </c>
      <c r="E39" s="3"/>
    </row>
    <row r="40" spans="1:5" ht="47.25">
      <c r="A40" s="18" t="s">
        <v>140</v>
      </c>
      <c r="B40" s="11" t="s">
        <v>141</v>
      </c>
      <c r="C40" s="11" t="s">
        <v>142</v>
      </c>
      <c r="D40" s="4" t="s">
        <v>512</v>
      </c>
      <c r="E40" s="3"/>
    </row>
    <row r="41" spans="1:5" ht="31.5">
      <c r="A41" s="10" t="s">
        <v>143</v>
      </c>
      <c r="B41" s="11" t="s">
        <v>114</v>
      </c>
      <c r="C41" s="11" t="s">
        <v>162</v>
      </c>
      <c r="E41" s="3" t="str">
        <f t="shared" si="0"/>
        <v>x</v>
      </c>
    </row>
    <row r="42" spans="1:5" ht="31.5">
      <c r="A42" s="7" t="s">
        <v>163</v>
      </c>
      <c r="B42" s="8" t="s">
        <v>164</v>
      </c>
      <c r="C42" s="9"/>
      <c r="E42" s="19"/>
    </row>
    <row r="43" spans="1:5">
      <c r="A43" s="12" t="s">
        <v>165</v>
      </c>
      <c r="B43" s="11" t="s">
        <v>342</v>
      </c>
      <c r="C43" s="1658" t="s">
        <v>354</v>
      </c>
      <c r="D43" s="4" t="s">
        <v>512</v>
      </c>
      <c r="E43" s="1652"/>
    </row>
    <row r="44" spans="1:5">
      <c r="A44" s="12" t="s">
        <v>343</v>
      </c>
      <c r="B44" s="11" t="s">
        <v>344</v>
      </c>
      <c r="C44" s="1659"/>
      <c r="D44" s="4" t="s">
        <v>512</v>
      </c>
      <c r="E44" s="1654"/>
    </row>
    <row r="45" spans="1:5">
      <c r="A45" s="12" t="s">
        <v>345</v>
      </c>
      <c r="B45" s="11" t="s">
        <v>346</v>
      </c>
      <c r="C45" s="1659"/>
      <c r="D45" s="4" t="s">
        <v>512</v>
      </c>
      <c r="E45" s="1654"/>
    </row>
    <row r="46" spans="1:5">
      <c r="A46" s="12" t="s">
        <v>347</v>
      </c>
      <c r="B46" s="11" t="s">
        <v>451</v>
      </c>
      <c r="C46" s="1660"/>
      <c r="D46" s="4" t="s">
        <v>512</v>
      </c>
      <c r="E46" s="1653"/>
    </row>
    <row r="47" spans="1:5">
      <c r="A47" s="7" t="s">
        <v>348</v>
      </c>
      <c r="B47" s="8" t="s">
        <v>514</v>
      </c>
      <c r="C47" s="9"/>
      <c r="E47" s="19"/>
    </row>
    <row r="48" spans="1:5">
      <c r="A48" s="10" t="s">
        <v>515</v>
      </c>
      <c r="B48" s="11" t="s">
        <v>516</v>
      </c>
      <c r="C48" s="1658" t="s">
        <v>159</v>
      </c>
      <c r="E48" s="1652" t="str">
        <f t="shared" ref="E48:E62" si="1">+IF(D48="x",0,"x")</f>
        <v>x</v>
      </c>
    </row>
    <row r="49" spans="1:5" ht="63">
      <c r="A49" s="10" t="s">
        <v>517</v>
      </c>
      <c r="B49" s="11" t="s">
        <v>174</v>
      </c>
      <c r="C49" s="1659"/>
      <c r="E49" s="1654" t="str">
        <f t="shared" si="1"/>
        <v>x</v>
      </c>
    </row>
    <row r="50" spans="1:5" ht="47.25">
      <c r="A50" s="10" t="s">
        <v>175</v>
      </c>
      <c r="B50" s="11" t="s">
        <v>176</v>
      </c>
      <c r="C50" s="1660"/>
      <c r="E50" s="1653" t="str">
        <f t="shared" si="1"/>
        <v>x</v>
      </c>
    </row>
    <row r="51" spans="1:5" ht="63">
      <c r="A51" s="10" t="s">
        <v>177</v>
      </c>
      <c r="B51" s="11" t="s">
        <v>178</v>
      </c>
      <c r="C51" s="11" t="s">
        <v>355</v>
      </c>
      <c r="E51" s="3" t="str">
        <f t="shared" si="1"/>
        <v>x</v>
      </c>
    </row>
    <row r="52" spans="1:5" ht="31.5">
      <c r="A52" s="10" t="s">
        <v>179</v>
      </c>
      <c r="B52" s="11" t="s">
        <v>180</v>
      </c>
      <c r="C52" s="11" t="s">
        <v>300</v>
      </c>
      <c r="E52" s="3" t="str">
        <f t="shared" si="1"/>
        <v>x</v>
      </c>
    </row>
    <row r="53" spans="1:5">
      <c r="A53" s="7" t="s">
        <v>301</v>
      </c>
      <c r="B53" s="8" t="s">
        <v>302</v>
      </c>
      <c r="C53" s="9"/>
      <c r="E53" s="19"/>
    </row>
    <row r="54" spans="1:5">
      <c r="A54" s="10" t="s">
        <v>303</v>
      </c>
      <c r="B54" s="11" t="s">
        <v>304</v>
      </c>
      <c r="C54" s="1661" t="s">
        <v>87</v>
      </c>
      <c r="E54" s="1651" t="str">
        <f t="shared" si="1"/>
        <v>x</v>
      </c>
    </row>
    <row r="55" spans="1:5" ht="31.5">
      <c r="A55" s="10" t="s">
        <v>88</v>
      </c>
      <c r="B55" s="11" t="s">
        <v>38</v>
      </c>
      <c r="C55" s="1661"/>
      <c r="E55" s="1651" t="str">
        <f t="shared" si="1"/>
        <v>x</v>
      </c>
    </row>
    <row r="56" spans="1:5" ht="31.5">
      <c r="A56" s="10" t="s">
        <v>39</v>
      </c>
      <c r="B56" s="11" t="s">
        <v>453</v>
      </c>
      <c r="C56" s="1661"/>
      <c r="E56" s="1651" t="str">
        <f t="shared" si="1"/>
        <v>x</v>
      </c>
    </row>
    <row r="57" spans="1:5" ht="31.5">
      <c r="A57" s="10" t="s">
        <v>454</v>
      </c>
      <c r="B57" s="11" t="s">
        <v>404</v>
      </c>
      <c r="C57" s="1661"/>
      <c r="E57" s="1651" t="str">
        <f t="shared" si="1"/>
        <v>x</v>
      </c>
    </row>
    <row r="58" spans="1:5">
      <c r="A58" s="10" t="s">
        <v>405</v>
      </c>
      <c r="B58" s="11" t="s">
        <v>267</v>
      </c>
      <c r="C58" s="1661"/>
      <c r="E58" s="1651" t="str">
        <f t="shared" si="1"/>
        <v>x</v>
      </c>
    </row>
    <row r="59" spans="1:5">
      <c r="A59" s="10" t="s">
        <v>268</v>
      </c>
      <c r="B59" s="11" t="s">
        <v>269</v>
      </c>
      <c r="C59" s="1661"/>
      <c r="E59" s="1651" t="str">
        <f t="shared" si="1"/>
        <v>x</v>
      </c>
    </row>
    <row r="60" spans="1:5" ht="47.25">
      <c r="A60" s="10" t="s">
        <v>270</v>
      </c>
      <c r="B60" s="11" t="s">
        <v>271</v>
      </c>
      <c r="C60" s="1661" t="s">
        <v>87</v>
      </c>
      <c r="E60" s="1651" t="str">
        <f t="shared" si="1"/>
        <v>x</v>
      </c>
    </row>
    <row r="61" spans="1:5" ht="31.5">
      <c r="A61" s="10" t="s">
        <v>272</v>
      </c>
      <c r="B61" s="11" t="s">
        <v>273</v>
      </c>
      <c r="C61" s="1661"/>
      <c r="E61" s="1651" t="str">
        <f t="shared" si="1"/>
        <v>x</v>
      </c>
    </row>
    <row r="62" spans="1:5" ht="31.5">
      <c r="A62" s="10" t="s">
        <v>274</v>
      </c>
      <c r="B62" s="11" t="s">
        <v>275</v>
      </c>
      <c r="C62" s="1661"/>
      <c r="E62" s="1651" t="str">
        <f t="shared" si="1"/>
        <v>x</v>
      </c>
    </row>
    <row r="63" spans="1:5" ht="31.5">
      <c r="A63" s="7" t="s">
        <v>276</v>
      </c>
      <c r="B63" s="8" t="s">
        <v>277</v>
      </c>
      <c r="C63" s="9"/>
      <c r="E63" s="19"/>
    </row>
    <row r="64" spans="1:5">
      <c r="A64" s="13">
        <v>1</v>
      </c>
      <c r="B64" s="14" t="s">
        <v>278</v>
      </c>
      <c r="C64" s="11"/>
      <c r="E64" s="3"/>
    </row>
    <row r="65" spans="1:5">
      <c r="A65" s="12" t="s">
        <v>279</v>
      </c>
      <c r="B65" s="11" t="s">
        <v>105</v>
      </c>
      <c r="C65" s="1661" t="s">
        <v>530</v>
      </c>
      <c r="D65" s="4" t="s">
        <v>512</v>
      </c>
      <c r="E65" s="1651"/>
    </row>
    <row r="66" spans="1:5">
      <c r="A66" s="12" t="s">
        <v>531</v>
      </c>
      <c r="B66" s="11" t="s">
        <v>532</v>
      </c>
      <c r="C66" s="1661"/>
      <c r="D66" s="4" t="s">
        <v>512</v>
      </c>
      <c r="E66" s="1651"/>
    </row>
    <row r="67" spans="1:5" ht="31.5">
      <c r="A67" s="12" t="s">
        <v>533</v>
      </c>
      <c r="B67" s="11" t="s">
        <v>534</v>
      </c>
      <c r="C67" s="1661"/>
      <c r="D67" s="4" t="s">
        <v>512</v>
      </c>
      <c r="E67" s="1651"/>
    </row>
    <row r="68" spans="1:5" ht="47.25">
      <c r="A68" s="12" t="s">
        <v>155</v>
      </c>
      <c r="B68" s="11" t="s">
        <v>82</v>
      </c>
      <c r="C68" s="1661"/>
      <c r="D68" s="4" t="s">
        <v>512</v>
      </c>
      <c r="E68" s="1651"/>
    </row>
    <row r="69" spans="1:5" ht="47.25">
      <c r="A69" s="12" t="s">
        <v>83</v>
      </c>
      <c r="B69" s="11" t="s">
        <v>84</v>
      </c>
      <c r="C69" s="1661"/>
      <c r="D69" s="4" t="s">
        <v>512</v>
      </c>
      <c r="E69" s="1651"/>
    </row>
    <row r="70" spans="1:5">
      <c r="A70" s="12" t="s">
        <v>85</v>
      </c>
      <c r="B70" s="11" t="s">
        <v>265</v>
      </c>
      <c r="C70" s="1661"/>
      <c r="D70" s="4" t="s">
        <v>512</v>
      </c>
      <c r="E70" s="1651"/>
    </row>
    <row r="71" spans="1:5" ht="31.5">
      <c r="A71" s="12" t="s">
        <v>266</v>
      </c>
      <c r="B71" s="11" t="s">
        <v>156</v>
      </c>
      <c r="C71" s="1661"/>
      <c r="D71" s="4" t="s">
        <v>512</v>
      </c>
      <c r="E71" s="1651"/>
    </row>
    <row r="72" spans="1:5">
      <c r="A72" s="12" t="s">
        <v>157</v>
      </c>
      <c r="B72" s="11" t="s">
        <v>158</v>
      </c>
      <c r="C72" s="1661"/>
      <c r="D72" s="4" t="s">
        <v>512</v>
      </c>
      <c r="E72" s="1651"/>
    </row>
    <row r="73" spans="1:5" ht="47.25">
      <c r="A73" s="12" t="s">
        <v>487</v>
      </c>
      <c r="B73" s="11" t="s">
        <v>488</v>
      </c>
      <c r="C73" s="1661"/>
      <c r="D73" s="4" t="s">
        <v>512</v>
      </c>
      <c r="E73" s="1651"/>
    </row>
    <row r="74" spans="1:5" ht="63">
      <c r="A74" s="12" t="s">
        <v>489</v>
      </c>
      <c r="B74" s="11" t="s">
        <v>490</v>
      </c>
      <c r="C74" s="1661"/>
      <c r="D74" s="4" t="s">
        <v>512</v>
      </c>
      <c r="E74" s="1651"/>
    </row>
    <row r="75" spans="1:5" ht="63">
      <c r="A75" s="12" t="s">
        <v>491</v>
      </c>
      <c r="B75" s="11" t="s">
        <v>492</v>
      </c>
      <c r="C75" s="1661"/>
      <c r="D75" s="4" t="s">
        <v>512</v>
      </c>
      <c r="E75" s="1651"/>
    </row>
    <row r="76" spans="1:5" ht="63">
      <c r="A76" s="12" t="s">
        <v>226</v>
      </c>
      <c r="B76" s="11" t="s">
        <v>227</v>
      </c>
      <c r="C76" s="1661"/>
      <c r="D76" s="4" t="s">
        <v>512</v>
      </c>
      <c r="E76" s="1651"/>
    </row>
    <row r="77" spans="1:5">
      <c r="A77" s="10" t="s">
        <v>228</v>
      </c>
      <c r="B77" s="11" t="s">
        <v>105</v>
      </c>
      <c r="C77" s="1661" t="s">
        <v>211</v>
      </c>
      <c r="E77" s="1651" t="str">
        <f>+IF(D77="x",0,"x")</f>
        <v>x</v>
      </c>
    </row>
    <row r="78" spans="1:5">
      <c r="A78" s="10" t="s">
        <v>212</v>
      </c>
      <c r="B78" s="11" t="s">
        <v>532</v>
      </c>
      <c r="C78" s="1661"/>
      <c r="E78" s="1651" t="str">
        <f>+IF(D78="x",0,"x")</f>
        <v>x</v>
      </c>
    </row>
    <row r="79" spans="1:5">
      <c r="A79" s="13">
        <v>2</v>
      </c>
      <c r="B79" s="14" t="s">
        <v>213</v>
      </c>
      <c r="C79" s="11"/>
      <c r="E79" s="3"/>
    </row>
    <row r="80" spans="1:5">
      <c r="A80" s="12" t="s">
        <v>214</v>
      </c>
      <c r="B80" s="11" t="s">
        <v>215</v>
      </c>
      <c r="C80" s="1661" t="s">
        <v>14</v>
      </c>
      <c r="D80" s="4" t="s">
        <v>512</v>
      </c>
      <c r="E80" s="1651"/>
    </row>
    <row r="81" spans="1:5">
      <c r="A81" s="12" t="s">
        <v>15</v>
      </c>
      <c r="B81" s="11" t="s">
        <v>16</v>
      </c>
      <c r="C81" s="1661"/>
      <c r="D81" s="4" t="s">
        <v>512</v>
      </c>
      <c r="E81" s="1651"/>
    </row>
    <row r="82" spans="1:5">
      <c r="A82" s="12" t="s">
        <v>17</v>
      </c>
      <c r="B82" s="11" t="s">
        <v>18</v>
      </c>
      <c r="C82" s="1661"/>
      <c r="D82" s="4" t="s">
        <v>512</v>
      </c>
      <c r="E82" s="1651"/>
    </row>
    <row r="83" spans="1:5" ht="31.5">
      <c r="A83" s="10" t="s">
        <v>19</v>
      </c>
      <c r="B83" s="11" t="s">
        <v>16</v>
      </c>
      <c r="C83" s="11" t="s">
        <v>20</v>
      </c>
      <c r="E83" s="3" t="str">
        <f>+IF(D83="x",0,"x")</f>
        <v>x</v>
      </c>
    </row>
    <row r="84" spans="1:5" ht="31.5">
      <c r="A84" s="12" t="s">
        <v>21</v>
      </c>
      <c r="B84" s="11" t="s">
        <v>22</v>
      </c>
      <c r="C84" s="11" t="s">
        <v>23</v>
      </c>
      <c r="D84" s="4" t="s">
        <v>512</v>
      </c>
      <c r="E84" s="3"/>
    </row>
    <row r="85" spans="1:5">
      <c r="A85" s="10" t="s">
        <v>24</v>
      </c>
      <c r="B85" s="11" t="s">
        <v>25</v>
      </c>
      <c r="C85" s="1661" t="s">
        <v>26</v>
      </c>
      <c r="E85" s="1651" t="str">
        <f>+IF(D85="x",0,"x")</f>
        <v>x</v>
      </c>
    </row>
    <row r="86" spans="1:5">
      <c r="A86" s="10" t="s">
        <v>27</v>
      </c>
      <c r="B86" s="11" t="s">
        <v>16</v>
      </c>
      <c r="C86" s="1661"/>
      <c r="E86" s="1651" t="str">
        <f>+IF(D86="x",0,"x")</f>
        <v>x</v>
      </c>
    </row>
    <row r="87" spans="1:5">
      <c r="A87" s="10" t="s">
        <v>28</v>
      </c>
      <c r="B87" s="11" t="s">
        <v>29</v>
      </c>
      <c r="C87" s="1661"/>
      <c r="E87" s="1651" t="str">
        <f>+IF(D87="x",0,"x")</f>
        <v>x</v>
      </c>
    </row>
    <row r="88" spans="1:5">
      <c r="A88" s="7" t="s">
        <v>30</v>
      </c>
      <c r="B88" s="8" t="s">
        <v>31</v>
      </c>
      <c r="C88" s="9"/>
      <c r="E88" s="19"/>
    </row>
    <row r="89" spans="1:5" ht="47.25">
      <c r="A89" s="12" t="s">
        <v>32</v>
      </c>
      <c r="B89" s="11" t="s">
        <v>33</v>
      </c>
      <c r="C89" s="1661" t="s">
        <v>56</v>
      </c>
      <c r="D89" s="4" t="s">
        <v>512</v>
      </c>
      <c r="E89" s="1651"/>
    </row>
    <row r="90" spans="1:5" ht="47.25">
      <c r="A90" s="12" t="s">
        <v>57</v>
      </c>
      <c r="B90" s="11" t="s">
        <v>452</v>
      </c>
      <c r="C90" s="1661"/>
      <c r="D90" s="4" t="s">
        <v>512</v>
      </c>
      <c r="E90" s="1651"/>
    </row>
    <row r="91" spans="1:5">
      <c r="A91" s="10" t="s">
        <v>203</v>
      </c>
      <c r="B91" s="11" t="s">
        <v>204</v>
      </c>
      <c r="C91" s="1661" t="s">
        <v>205</v>
      </c>
      <c r="E91" s="1651" t="str">
        <f t="shared" ref="E91:E101" si="2">+IF(D91="x",0,"x")</f>
        <v>x</v>
      </c>
    </row>
    <row r="92" spans="1:5">
      <c r="A92" s="10" t="s">
        <v>206</v>
      </c>
      <c r="B92" s="11" t="s">
        <v>455</v>
      </c>
      <c r="C92" s="1661"/>
      <c r="E92" s="1651" t="str">
        <f t="shared" si="2"/>
        <v>x</v>
      </c>
    </row>
    <row r="93" spans="1:5">
      <c r="A93" s="10" t="s">
        <v>456</v>
      </c>
      <c r="B93" s="11" t="s">
        <v>457</v>
      </c>
      <c r="C93" s="1661"/>
      <c r="E93" s="1651" t="str">
        <f t="shared" si="2"/>
        <v>x</v>
      </c>
    </row>
    <row r="94" spans="1:5" ht="31.5">
      <c r="A94" s="10" t="s">
        <v>458</v>
      </c>
      <c r="B94" s="11" t="s">
        <v>135</v>
      </c>
      <c r="C94" s="1661" t="s">
        <v>136</v>
      </c>
      <c r="E94" s="1651" t="str">
        <f t="shared" si="2"/>
        <v>x</v>
      </c>
    </row>
    <row r="95" spans="1:5" ht="31.5">
      <c r="A95" s="10" t="s">
        <v>137</v>
      </c>
      <c r="B95" s="11" t="s">
        <v>459</v>
      </c>
      <c r="C95" s="1661"/>
      <c r="E95" s="1651" t="str">
        <f t="shared" si="2"/>
        <v>x</v>
      </c>
    </row>
    <row r="96" spans="1:5" ht="31.5">
      <c r="A96" s="10" t="s">
        <v>460</v>
      </c>
      <c r="B96" s="11" t="s">
        <v>461</v>
      </c>
      <c r="C96" s="1661"/>
      <c r="E96" s="1651" t="str">
        <f t="shared" si="2"/>
        <v>x</v>
      </c>
    </row>
    <row r="97" spans="1:5" ht="31.5">
      <c r="A97" s="10" t="s">
        <v>462</v>
      </c>
      <c r="B97" s="11" t="s">
        <v>40</v>
      </c>
      <c r="C97" s="1661"/>
      <c r="E97" s="1651" t="str">
        <f t="shared" si="2"/>
        <v>x</v>
      </c>
    </row>
    <row r="98" spans="1:5">
      <c r="A98" s="10" t="s">
        <v>41</v>
      </c>
      <c r="B98" s="11" t="s">
        <v>42</v>
      </c>
      <c r="C98" s="1661"/>
      <c r="E98" s="1651" t="str">
        <f t="shared" si="2"/>
        <v>x</v>
      </c>
    </row>
    <row r="99" spans="1:5" ht="31.5">
      <c r="A99" s="10" t="s">
        <v>43</v>
      </c>
      <c r="B99" s="11" t="s">
        <v>44</v>
      </c>
      <c r="C99" s="1661"/>
      <c r="E99" s="1651" t="str">
        <f t="shared" si="2"/>
        <v>x</v>
      </c>
    </row>
    <row r="100" spans="1:5" ht="63">
      <c r="A100" s="10" t="s">
        <v>45</v>
      </c>
      <c r="B100" s="11" t="s">
        <v>46</v>
      </c>
      <c r="C100" s="15" t="s">
        <v>486</v>
      </c>
      <c r="E100" s="20" t="str">
        <f t="shared" si="2"/>
        <v>x</v>
      </c>
    </row>
    <row r="101" spans="1:5" ht="31.5">
      <c r="A101" s="10" t="s">
        <v>47</v>
      </c>
      <c r="B101" s="11" t="s">
        <v>509</v>
      </c>
      <c r="C101" s="11" t="s">
        <v>510</v>
      </c>
      <c r="E101" s="3" t="str">
        <f t="shared" si="2"/>
        <v>x</v>
      </c>
    </row>
    <row r="102" spans="1:5">
      <c r="A102" s="16"/>
      <c r="B102" s="17"/>
      <c r="C102" s="17"/>
    </row>
    <row r="103" spans="1:5">
      <c r="A103" s="16"/>
      <c r="B103" s="17"/>
      <c r="C103" s="17"/>
    </row>
  </sheetData>
  <autoFilter ref="A4:E101"/>
  <mergeCells count="33">
    <mergeCell ref="E94:E99"/>
    <mergeCell ref="E91:E93"/>
    <mergeCell ref="C94:C99"/>
    <mergeCell ref="E65:E76"/>
    <mergeCell ref="E85:E87"/>
    <mergeCell ref="E89:E90"/>
    <mergeCell ref="C89:C90"/>
    <mergeCell ref="C91:C93"/>
    <mergeCell ref="C80:C82"/>
    <mergeCell ref="C85:C87"/>
    <mergeCell ref="E80:E82"/>
    <mergeCell ref="C43:C46"/>
    <mergeCell ref="C48:C50"/>
    <mergeCell ref="C11:C12"/>
    <mergeCell ref="E43:E46"/>
    <mergeCell ref="E48:E50"/>
    <mergeCell ref="E54:E59"/>
    <mergeCell ref="E60:E62"/>
    <mergeCell ref="C77:C78"/>
    <mergeCell ref="E77:E78"/>
    <mergeCell ref="C54:C59"/>
    <mergeCell ref="C60:C62"/>
    <mergeCell ref="C65:C76"/>
    <mergeCell ref="A1:E1"/>
    <mergeCell ref="E6:E8"/>
    <mergeCell ref="E11:E12"/>
    <mergeCell ref="E24:E33"/>
    <mergeCell ref="E36:E38"/>
    <mergeCell ref="A2:E2"/>
    <mergeCell ref="A3:C3"/>
    <mergeCell ref="C24:C33"/>
    <mergeCell ref="C36:C38"/>
    <mergeCell ref="C6:C8"/>
  </mergeCells>
  <phoneticPr fontId="32" type="noConversion"/>
  <hyperlinks>
    <hyperlink ref="A6" location="'01'!A1" display="Mẫu biểu số 01:"/>
    <hyperlink ref="A7" location="'02'!A1" display="Mẫu biểu số 02:"/>
    <hyperlink ref="A8" location="'03'!A1" display="Mẫu biểu số 03:"/>
    <hyperlink ref="A9" location="'04'!A1" display="Mẫu biểu số 04:"/>
    <hyperlink ref="A11" location="'05'!A1" display="Mẫu biểu số 05:"/>
    <hyperlink ref="A12" location="'06'!A1" display="Mẫu biểu số 06:"/>
    <hyperlink ref="A13" location="'07'!A1" display="Mẫu biểu số 07:"/>
    <hyperlink ref="A14" location="'08'!A1" display="Mẫu biểu số 08:"/>
    <hyperlink ref="A15" location="'09'!A1" display="Mẫu biểu số 09:"/>
    <hyperlink ref="A17" location="'11.1'!A1" display="Mẫu biểu số 11.1:"/>
    <hyperlink ref="A18" location="'11.2'!A1" display="Mẫu biểu số 11.2:"/>
    <hyperlink ref="A19" location="'12.1'!A1" display="Mẫu biểu số 12.1:"/>
    <hyperlink ref="A20" location="'12.2'!A1" display="Mẫu biểu số 12.2"/>
    <hyperlink ref="A21" location="'12.3'!A1" display="Mẫu biểu số 12.3:"/>
    <hyperlink ref="A22" location="'12.4'!A1" display="Mẫu biểu số 12.4:"/>
    <hyperlink ref="A23" location="'12.5'!A1" display="Mẫu biểu số 12.5:"/>
    <hyperlink ref="A24" location="'13.1'!A1" display="Mẫu biểu số 13.1:"/>
    <hyperlink ref="A25" location="'13.2'!A1" display="Mẫu biểu số 13.2:"/>
    <hyperlink ref="A26" location="'13.3'!A1" display="Mẫu biểu số 13.3:"/>
    <hyperlink ref="A27" location="'13.4'!A1" display="Mẫu biểu số 13.4:"/>
    <hyperlink ref="A28" location="'13.5'!A1" display="Mẫu biểu số 13.5:"/>
    <hyperlink ref="A29" location="'13.6'!A1" display="Mẫu biểu số 13.6:"/>
    <hyperlink ref="A30" location="'13.7'!A1" display="Mẫu biểu số 13.7:"/>
    <hyperlink ref="A31" location="'13.8'!A1" display="Mẫu biểu số 13.8:"/>
    <hyperlink ref="A32" location="'13.9'!A1" display="Mẫu biểu số 13.9:"/>
    <hyperlink ref="A33" location="'13.10'!A1" display="Mẫu biểu số 13.10:"/>
    <hyperlink ref="A34" location="'13.11'!A1" display="Mẫu biểu số 13.11:"/>
    <hyperlink ref="A35" location="'13.12'!A1" display="Mẫu biểu số 13.12:"/>
    <hyperlink ref="A36" location="'14'!A1" display="Mẫu biểu số 14:"/>
    <hyperlink ref="A37" location="'15.1'!A1" display="Mẫu biểu số 15.1:"/>
    <hyperlink ref="A38" location="'15.2'!A1" display="Mẫu biểu số 15.2:"/>
    <hyperlink ref="A41" location="'18'!A1" display="Mẫu biểu số 18:"/>
    <hyperlink ref="A48" location="'23'!A1" display="Mẫu biểu số 23:"/>
    <hyperlink ref="A49" location="'24'!A1" display="Mẫu biểu số 24:"/>
    <hyperlink ref="A50" location="'25'!A1" display="Mẫu biểu số 25:"/>
    <hyperlink ref="A51" location="'26'!A1" display="Mẫu biểu số 26:"/>
    <hyperlink ref="A52" location="'27'!A1" display="Mẫu biểu số 27:"/>
    <hyperlink ref="A54" location="'28'!A1" display="Mẫu biểu số 28:"/>
    <hyperlink ref="A55" location="'29.1'!A1" display="Mẫu biểu số 29.1:"/>
    <hyperlink ref="A56" location="'29.2'!A1" display="Mẫu biểu số 29.2:"/>
    <hyperlink ref="A57" location="'30'!A1" display="Mẫu biểu số 30:"/>
    <hyperlink ref="A58" location="'31'!A1" display="Mẫu biểu số 31:"/>
    <hyperlink ref="A59" location="'32'!A1" display="Mẫu biểu số 32:"/>
    <hyperlink ref="A60" location="'33'!A1" display="Mẫu biểu số 33:"/>
    <hyperlink ref="A61" location="'34'!A1" display="Mẫu biểu số 34:"/>
    <hyperlink ref="A62" location="'35'!A1" display="Mẫu biểu số 35:"/>
    <hyperlink ref="A77" location="'48'!A1" display="Mẫu biểu số 48:"/>
    <hyperlink ref="A78" location="'49'!A1" display="Mẫu biểu số 49:"/>
    <hyperlink ref="A83" location="'53'!A1" display="Mẫu biểu số 53:"/>
    <hyperlink ref="A85" location="'55'!A1" display="Mẫu biểu số 55:"/>
    <hyperlink ref="A86" location="'56'!A1" display="Mẫu biểu số 56:"/>
    <hyperlink ref="A87" location="'57'!A1" display="Mẫu biểu số 57:"/>
    <hyperlink ref="A91" location="'60'!A1" display="Mẫu biểu số 60:"/>
    <hyperlink ref="A92" location="'61'!A1" display="Mẫu biểu số 61:"/>
    <hyperlink ref="A93" location="'62'!A1" display="Mẫu biểu số 62:"/>
    <hyperlink ref="A94" location="'63'!A1" display="Mẫu biểu số 63:"/>
    <hyperlink ref="A95" location="'64'!A1" display="Mẫu biểu số 64:"/>
    <hyperlink ref="A96" location="'65'!A1" display="Mẫu biểu số 65:"/>
    <hyperlink ref="A97" location="'66'!A1" display="Mẫu biểu số 66:"/>
    <hyperlink ref="A98" location="'67'!A1" display="Mẫu biểu số 67:"/>
    <hyperlink ref="A99" location="'68'!A1" display="Mẫu biểu số 68:"/>
    <hyperlink ref="A100" location="'69'!A1" display="Mẫu biểu số 69:"/>
    <hyperlink ref="A101" location="'70'!A1" display="Mẫu biểu số 70:"/>
    <hyperlink ref="A16" location="'10'!A1" display="Mẫu biểu số 10:"/>
  </hyperlinks>
  <pageMargins left="0.55118110236220474" right="0.25" top="0.51181102362204722" bottom="0.27559055118110237" header="0.31496062992125984" footer="0.23622047244094491"/>
  <pageSetup paperSize="9" scale="6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N139"/>
  <sheetViews>
    <sheetView zoomScale="130" zoomScaleNormal="130" workbookViewId="0">
      <pane xSplit="2" ySplit="6" topLeftCell="C70" activePane="bottomRight" state="frozen"/>
      <selection pane="topRight" activeCell="C1" sqref="C1"/>
      <selection pane="bottomLeft" activeCell="A7" sqref="A7"/>
      <selection pane="bottomRight" activeCell="L25" sqref="L25:L27"/>
    </sheetView>
  </sheetViews>
  <sheetFormatPr defaultColWidth="9.28515625" defaultRowHeight="15"/>
  <cols>
    <col min="1" max="1" width="4" style="33" customWidth="1"/>
    <col min="2" max="2" width="37.7109375" style="368" customWidth="1"/>
    <col min="3" max="3" width="12.85546875" style="33" customWidth="1"/>
    <col min="4" max="4" width="12.5703125" style="33" customWidth="1"/>
    <col min="5" max="5" width="14" style="33" customWidth="1"/>
    <col min="6" max="6" width="13" style="33" customWidth="1"/>
    <col min="7" max="7" width="10.85546875" style="33" customWidth="1"/>
    <col min="8" max="8" width="14" style="33" bestFit="1" customWidth="1"/>
    <col min="9" max="9" width="8" style="26" customWidth="1"/>
    <col min="10" max="10" width="10" style="26" customWidth="1"/>
    <col min="11" max="11" width="9.42578125" style="26" customWidth="1"/>
    <col min="12" max="12" width="15.28515625" style="33" bestFit="1" customWidth="1"/>
    <col min="13" max="13" width="16" style="33" customWidth="1"/>
    <col min="14" max="14" width="14.140625" style="33" bestFit="1" customWidth="1"/>
    <col min="15" max="16384" width="9.28515625" style="33"/>
  </cols>
  <sheetData>
    <row r="1" spans="1:14" ht="18.75" customHeight="1">
      <c r="A1" s="34" t="str">
        <f>'48.QTCĐNSĐP'!A1</f>
        <v>UBND xã Trần Phú</v>
      </c>
      <c r="D1" s="1016"/>
      <c r="E1" s="1016"/>
      <c r="F1" s="1017"/>
      <c r="G1" s="1016"/>
      <c r="H1" s="1016"/>
      <c r="J1" s="1671" t="s">
        <v>1091</v>
      </c>
      <c r="K1" s="1671"/>
    </row>
    <row r="2" spans="1:14" s="1181" customFormat="1" ht="45.75" customHeight="1">
      <c r="A2" s="1681" t="s">
        <v>1341</v>
      </c>
      <c r="B2" s="1681"/>
      <c r="C2" s="1681"/>
      <c r="D2" s="1681"/>
      <c r="E2" s="1681"/>
      <c r="F2" s="1681"/>
      <c r="G2" s="1681"/>
      <c r="H2" s="1681"/>
      <c r="I2" s="1681"/>
      <c r="J2" s="1681"/>
      <c r="K2" s="1681"/>
      <c r="L2" s="33"/>
    </row>
    <row r="3" spans="1:14" s="1181" customFormat="1" ht="21" customHeight="1">
      <c r="A3" s="1686" t="str">
        <f>'52'!A3:F3</f>
        <v>(Kèm theo Quyết định số      /QĐ-UBND ngày 15/04/2026 nhân dân xã Trần Phú)</v>
      </c>
      <c r="B3" s="1686"/>
      <c r="C3" s="1686"/>
      <c r="D3" s="1686"/>
      <c r="E3" s="1686"/>
      <c r="F3" s="1686"/>
      <c r="G3" s="1686"/>
      <c r="H3" s="1686"/>
      <c r="I3" s="1686"/>
      <c r="J3" s="1686"/>
      <c r="K3" s="1686"/>
      <c r="L3" s="33"/>
    </row>
    <row r="4" spans="1:14" s="1181" customFormat="1" ht="15.75">
      <c r="A4" s="33"/>
      <c r="B4" s="1474"/>
      <c r="C4" s="1360"/>
      <c r="D4" s="1360"/>
      <c r="E4" s="1360"/>
      <c r="F4" s="1475"/>
      <c r="G4" s="52"/>
      <c r="H4" s="52"/>
      <c r="I4" s="26"/>
      <c r="J4" s="26"/>
      <c r="K4" s="199" t="s">
        <v>312</v>
      </c>
      <c r="L4" s="51"/>
      <c r="M4" s="1183"/>
    </row>
    <row r="5" spans="1:14" s="1184" customFormat="1" ht="20.25" customHeight="1">
      <c r="A5" s="1685" t="s">
        <v>313</v>
      </c>
      <c r="B5" s="1685" t="s">
        <v>468</v>
      </c>
      <c r="C5" s="1685" t="s">
        <v>1151</v>
      </c>
      <c r="D5" s="1685" t="s">
        <v>153</v>
      </c>
      <c r="E5" s="1685"/>
      <c r="F5" s="1685" t="s">
        <v>146</v>
      </c>
      <c r="G5" s="1688" t="s">
        <v>153</v>
      </c>
      <c r="H5" s="1689"/>
      <c r="I5" s="1687" t="s">
        <v>167</v>
      </c>
      <c r="J5" s="1687"/>
      <c r="K5" s="1687"/>
      <c r="L5" s="1474"/>
      <c r="M5" s="1182"/>
    </row>
    <row r="6" spans="1:14" s="1184" customFormat="1" ht="57.75" customHeight="1">
      <c r="A6" s="1685"/>
      <c r="B6" s="1685"/>
      <c r="C6" s="1685"/>
      <c r="D6" s="1476" t="s">
        <v>195</v>
      </c>
      <c r="E6" s="1476" t="s">
        <v>196</v>
      </c>
      <c r="F6" s="1685"/>
      <c r="G6" s="1476" t="s">
        <v>195</v>
      </c>
      <c r="H6" s="1476" t="s">
        <v>196</v>
      </c>
      <c r="I6" s="62" t="s">
        <v>283</v>
      </c>
      <c r="J6" s="62" t="s">
        <v>195</v>
      </c>
      <c r="K6" s="62" t="s">
        <v>196</v>
      </c>
      <c r="L6" s="1474"/>
    </row>
    <row r="7" spans="1:14" s="1185" customFormat="1" ht="16.5" customHeight="1">
      <c r="A7" s="1477" t="s">
        <v>316</v>
      </c>
      <c r="B7" s="1477" t="s">
        <v>317</v>
      </c>
      <c r="C7" s="1477" t="s">
        <v>241</v>
      </c>
      <c r="D7" s="1477">
        <v>2</v>
      </c>
      <c r="E7" s="1477">
        <v>3</v>
      </c>
      <c r="F7" s="1477" t="s">
        <v>242</v>
      </c>
      <c r="G7" s="1477">
        <v>5</v>
      </c>
      <c r="H7" s="1477">
        <v>6</v>
      </c>
      <c r="I7" s="1478" t="s">
        <v>284</v>
      </c>
      <c r="J7" s="1478" t="s">
        <v>285</v>
      </c>
      <c r="K7" s="1478" t="s">
        <v>286</v>
      </c>
      <c r="L7" s="1479"/>
    </row>
    <row r="8" spans="1:14" s="1187" customFormat="1" ht="21" customHeight="1">
      <c r="A8" s="1480"/>
      <c r="B8" s="1481" t="s">
        <v>362</v>
      </c>
      <c r="C8" s="1507">
        <f>D8+E8</f>
        <v>116334.72900000001</v>
      </c>
      <c r="D8" s="1507"/>
      <c r="E8" s="1507">
        <f>E9+E24+E70</f>
        <v>116334.72900000001</v>
      </c>
      <c r="F8" s="1507">
        <f>+G8+H8</f>
        <v>138250.391913</v>
      </c>
      <c r="G8" s="1507"/>
      <c r="H8" s="1507">
        <f>H9+H24+H70</f>
        <v>138250.391913</v>
      </c>
      <c r="I8" s="1482">
        <f>F8/C8*100</f>
        <v>118.8384527143223</v>
      </c>
      <c r="J8" s="1482"/>
      <c r="K8" s="1482">
        <f>H8/E8*100</f>
        <v>118.8384527143223</v>
      </c>
      <c r="L8" s="1483"/>
    </row>
    <row r="9" spans="1:14" s="1187" customFormat="1" ht="21" customHeight="1">
      <c r="A9" s="1484" t="s">
        <v>316</v>
      </c>
      <c r="B9" s="1485" t="s">
        <v>363</v>
      </c>
      <c r="C9" s="1508">
        <f t="shared" ref="C9:C31" si="0">D9+E9</f>
        <v>81162.72967500001</v>
      </c>
      <c r="D9" s="1508"/>
      <c r="E9" s="1508">
        <f>E10+E18+E21+E22+E23</f>
        <v>81162.72967500001</v>
      </c>
      <c r="F9" s="1508">
        <f>+G9+H9</f>
        <v>68975.246257999999</v>
      </c>
      <c r="G9" s="1508"/>
      <c r="H9" s="1508">
        <f>H10+H18+H21+H22+H23</f>
        <v>68975.246257999999</v>
      </c>
      <c r="I9" s="1486">
        <f>F9/C9*100</f>
        <v>84.983891663325821</v>
      </c>
      <c r="J9" s="1486"/>
      <c r="K9" s="1486">
        <f t="shared" ref="K9" si="1">H9/E9*100</f>
        <v>84.983891663325821</v>
      </c>
      <c r="L9" s="1483"/>
      <c r="M9" s="1186"/>
    </row>
    <row r="10" spans="1:14" s="1187" customFormat="1" ht="21" customHeight="1">
      <c r="A10" s="1484" t="s">
        <v>318</v>
      </c>
      <c r="B10" s="1485" t="s">
        <v>77</v>
      </c>
      <c r="C10" s="1508">
        <f t="shared" ref="C10:H10" si="2">C11+C16+C17</f>
        <v>2884.5206750000002</v>
      </c>
      <c r="D10" s="1508"/>
      <c r="E10" s="1508">
        <f t="shared" si="2"/>
        <v>2884.5206750000002</v>
      </c>
      <c r="F10" s="1508">
        <f t="shared" si="2"/>
        <v>2729.8000470000002</v>
      </c>
      <c r="G10" s="1508"/>
      <c r="H10" s="1508">
        <f t="shared" si="2"/>
        <v>2729.8000470000002</v>
      </c>
      <c r="I10" s="1486">
        <f>F10/C10*100</f>
        <v>94.636175454003293</v>
      </c>
      <c r="J10" s="1486"/>
      <c r="K10" s="1486">
        <f>H10/E10</f>
        <v>0.94636175454003291</v>
      </c>
      <c r="L10" s="1487"/>
      <c r="M10" s="1188"/>
      <c r="N10" s="1188"/>
    </row>
    <row r="11" spans="1:14" s="1190" customFormat="1" ht="21" customHeight="1">
      <c r="A11" s="1488">
        <v>1</v>
      </c>
      <c r="B11" s="1489" t="s">
        <v>364</v>
      </c>
      <c r="C11" s="1509">
        <f>SUM(C13:C15)</f>
        <v>2884.5206750000002</v>
      </c>
      <c r="D11" s="1509"/>
      <c r="E11" s="1509">
        <f t="shared" ref="E11" si="3">SUM(E13:E15)</f>
        <v>2884.5206750000002</v>
      </c>
      <c r="F11" s="1509">
        <f>SUM(F13:F15)</f>
        <v>2729.8000470000002</v>
      </c>
      <c r="G11" s="1509"/>
      <c r="H11" s="1509">
        <f>SUM(H13:H15)</f>
        <v>2729.8000470000002</v>
      </c>
      <c r="I11" s="1490">
        <f>F11/C11*100</f>
        <v>94.636175454003293</v>
      </c>
      <c r="J11" s="1490"/>
      <c r="K11" s="1490">
        <f>H11/E11*100</f>
        <v>94.636175454003293</v>
      </c>
      <c r="L11" s="1491"/>
      <c r="M11" s="1189"/>
      <c r="N11" s="1189"/>
    </row>
    <row r="12" spans="1:14" s="1190" customFormat="1" ht="21" customHeight="1">
      <c r="A12" s="1488"/>
      <c r="B12" s="1492" t="s">
        <v>1108</v>
      </c>
      <c r="C12" s="1509"/>
      <c r="D12" s="1509"/>
      <c r="E12" s="1509"/>
      <c r="F12" s="1509"/>
      <c r="G12" s="1509"/>
      <c r="H12" s="1509"/>
      <c r="I12" s="1490"/>
      <c r="J12" s="1490"/>
      <c r="K12" s="1490"/>
      <c r="L12" s="1491"/>
      <c r="M12" s="1189"/>
    </row>
    <row r="13" spans="1:14" s="1185" customFormat="1" ht="26.25" customHeight="1">
      <c r="A13" s="1502" t="s">
        <v>73</v>
      </c>
      <c r="B13" s="1593" t="s">
        <v>1177</v>
      </c>
      <c r="C13" s="1511">
        <f>'55'!C12</f>
        <v>2127.7909790000003</v>
      </c>
      <c r="D13" s="1511"/>
      <c r="E13" s="1511">
        <f>C13</f>
        <v>2127.7909790000003</v>
      </c>
      <c r="F13" s="1510">
        <f t="shared" ref="F13:F15" si="4">SUM(G13:H13)</f>
        <v>2019.1471680000002</v>
      </c>
      <c r="G13" s="1511"/>
      <c r="H13" s="1511">
        <f>'55'!D12</f>
        <v>2019.1471680000002</v>
      </c>
      <c r="I13" s="1490">
        <f t="shared" ref="I13:I15" si="5">F13/C13*100</f>
        <v>94.894056226751204</v>
      </c>
      <c r="J13" s="1503"/>
      <c r="K13" s="1490">
        <f t="shared" ref="K13:K15" si="6">H13/E13*100</f>
        <v>94.894056226751204</v>
      </c>
      <c r="L13" s="1504"/>
      <c r="M13" s="1505"/>
    </row>
    <row r="14" spans="1:14" s="1185" customFormat="1" ht="26.25" customHeight="1">
      <c r="A14" s="1502" t="s">
        <v>73</v>
      </c>
      <c r="B14" s="1593" t="s">
        <v>1176</v>
      </c>
      <c r="C14" s="1511">
        <f>'55'!C13</f>
        <v>698.37569599999995</v>
      </c>
      <c r="D14" s="1511"/>
      <c r="E14" s="1511">
        <f>C14</f>
        <v>698.37569599999995</v>
      </c>
      <c r="F14" s="1511">
        <f t="shared" si="4"/>
        <v>690.80687899999998</v>
      </c>
      <c r="G14" s="1511"/>
      <c r="H14" s="1511">
        <f>'55'!D13</f>
        <v>690.80687899999998</v>
      </c>
      <c r="I14" s="1490">
        <f t="shared" si="5"/>
        <v>98.916225601298706</v>
      </c>
      <c r="J14" s="1503"/>
      <c r="K14" s="1490">
        <f t="shared" si="6"/>
        <v>98.916225601298706</v>
      </c>
      <c r="L14" s="1504"/>
      <c r="M14" s="1505"/>
    </row>
    <row r="15" spans="1:14" s="1185" customFormat="1" ht="26.25" customHeight="1">
      <c r="A15" s="1502" t="s">
        <v>73</v>
      </c>
      <c r="B15" s="1593" t="s">
        <v>1346</v>
      </c>
      <c r="C15" s="1511">
        <f>'55'!C14</f>
        <v>58.353999999999999</v>
      </c>
      <c r="D15" s="1511"/>
      <c r="E15" s="1511">
        <f>C15</f>
        <v>58.353999999999999</v>
      </c>
      <c r="F15" s="1511">
        <f t="shared" si="4"/>
        <v>19.846</v>
      </c>
      <c r="G15" s="1511"/>
      <c r="H15" s="1511">
        <f>'55'!D14</f>
        <v>19.846</v>
      </c>
      <c r="I15" s="1490">
        <f t="shared" si="5"/>
        <v>34.009665147204991</v>
      </c>
      <c r="J15" s="1503"/>
      <c r="K15" s="1490">
        <f t="shared" si="6"/>
        <v>34.009665147204991</v>
      </c>
      <c r="L15" s="1504"/>
      <c r="M15" s="1505"/>
    </row>
    <row r="16" spans="1:14" s="1190" customFormat="1" ht="57.75" customHeight="1">
      <c r="A16" s="1488">
        <v>2</v>
      </c>
      <c r="B16" s="1495" t="s">
        <v>293</v>
      </c>
      <c r="C16" s="1509"/>
      <c r="D16" s="1509"/>
      <c r="E16" s="1509"/>
      <c r="F16" s="1509"/>
      <c r="G16" s="1509"/>
      <c r="H16" s="1509"/>
      <c r="I16" s="1490"/>
      <c r="J16" s="1490"/>
      <c r="K16" s="1490"/>
      <c r="L16" s="1496"/>
    </row>
    <row r="17" spans="1:14" s="1190" customFormat="1" ht="21" customHeight="1">
      <c r="A17" s="1488">
        <v>3</v>
      </c>
      <c r="B17" s="1489" t="s">
        <v>75</v>
      </c>
      <c r="C17" s="1509"/>
      <c r="D17" s="1509"/>
      <c r="E17" s="1509"/>
      <c r="F17" s="1509"/>
      <c r="G17" s="1509"/>
      <c r="H17" s="1509"/>
      <c r="I17" s="1490"/>
      <c r="J17" s="1490"/>
      <c r="K17" s="1490"/>
      <c r="L17" s="1496"/>
    </row>
    <row r="18" spans="1:14" s="1187" customFormat="1" ht="21" customHeight="1">
      <c r="A18" s="1484" t="s">
        <v>149</v>
      </c>
      <c r="B18" s="1485" t="s">
        <v>471</v>
      </c>
      <c r="C18" s="1508">
        <f>D18+E18</f>
        <v>76794.209000000003</v>
      </c>
      <c r="D18" s="1508"/>
      <c r="E18" s="1594">
        <f>'51'!C17</f>
        <v>76794.209000000003</v>
      </c>
      <c r="F18" s="1508">
        <f>H18</f>
        <v>64327.264141</v>
      </c>
      <c r="G18" s="1508"/>
      <c r="H18" s="1508">
        <f>'51'!D17</f>
        <v>64327.264141</v>
      </c>
      <c r="I18" s="1486">
        <f>F18/C18*100</f>
        <v>83.765774761740161</v>
      </c>
      <c r="J18" s="1486"/>
      <c r="K18" s="1486">
        <f>H18/E18*100</f>
        <v>83.765774761740161</v>
      </c>
      <c r="L18" s="1497"/>
    </row>
    <row r="19" spans="1:14" s="1190" customFormat="1" ht="21" customHeight="1">
      <c r="A19" s="1488"/>
      <c r="B19" s="1492" t="s">
        <v>250</v>
      </c>
      <c r="C19" s="1509"/>
      <c r="D19" s="1509"/>
      <c r="E19" s="1509"/>
      <c r="F19" s="1509"/>
      <c r="G19" s="1509"/>
      <c r="H19" s="1509"/>
      <c r="I19" s="1486"/>
      <c r="J19" s="1486"/>
      <c r="K19" s="1486"/>
      <c r="L19" s="1496"/>
    </row>
    <row r="20" spans="1:14" s="1191" customFormat="1" ht="21" customHeight="1">
      <c r="A20" s="1493">
        <v>1</v>
      </c>
      <c r="B20" s="1492" t="s">
        <v>239</v>
      </c>
      <c r="C20" s="1510">
        <f>E20</f>
        <v>45713.53</v>
      </c>
      <c r="D20" s="1510"/>
      <c r="E20" s="1510">
        <f>'51'!C19</f>
        <v>45713.53</v>
      </c>
      <c r="F20" s="1510">
        <f>H20</f>
        <v>45791.541488000003</v>
      </c>
      <c r="G20" s="1510"/>
      <c r="H20" s="1510">
        <f>'51'!D19</f>
        <v>45791.541488000003</v>
      </c>
      <c r="I20" s="1494"/>
      <c r="J20" s="1494"/>
      <c r="K20" s="1494">
        <f t="shared" ref="K20" si="7">H20/E20*100</f>
        <v>100.1706529511066</v>
      </c>
      <c r="L20" s="1501"/>
    </row>
    <row r="21" spans="1:14" s="1187" customFormat="1" ht="21" customHeight="1">
      <c r="A21" s="1484" t="s">
        <v>64</v>
      </c>
      <c r="B21" s="1485" t="s">
        <v>400</v>
      </c>
      <c r="C21" s="1508">
        <f>D21+E21</f>
        <v>1484</v>
      </c>
      <c r="D21" s="1508"/>
      <c r="E21" s="1508">
        <v>1484</v>
      </c>
      <c r="F21" s="1508">
        <f>G21+H21</f>
        <v>1141.7041400000001</v>
      </c>
      <c r="G21" s="1508"/>
      <c r="H21" s="1506">
        <v>1141.7041400000001</v>
      </c>
      <c r="I21" s="1486">
        <f>F21/C21*100</f>
        <v>76.934241239892188</v>
      </c>
      <c r="J21" s="1486"/>
      <c r="K21" s="1486">
        <f>H21/E21*100</f>
        <v>76.934241239892188</v>
      </c>
      <c r="L21" s="1497"/>
    </row>
    <row r="22" spans="1:14" s="1187" customFormat="1" ht="21" customHeight="1">
      <c r="A22" s="1484" t="s">
        <v>65</v>
      </c>
      <c r="B22" s="1485" t="s">
        <v>497</v>
      </c>
      <c r="C22" s="1508"/>
      <c r="D22" s="1508"/>
      <c r="E22" s="1508"/>
      <c r="F22" s="1508"/>
      <c r="G22" s="1508"/>
      <c r="H22" s="1508"/>
      <c r="I22" s="1486"/>
      <c r="J22" s="1486"/>
      <c r="K22" s="1486"/>
      <c r="L22" s="1497"/>
    </row>
    <row r="23" spans="1:14" s="1187" customFormat="1" ht="21" customHeight="1">
      <c r="A23" s="1484" t="s">
        <v>369</v>
      </c>
      <c r="B23" s="1485" t="s">
        <v>351</v>
      </c>
      <c r="C23" s="1508">
        <f t="shared" si="0"/>
        <v>0</v>
      </c>
      <c r="D23" s="1508"/>
      <c r="E23" s="1508"/>
      <c r="F23" s="1508">
        <f>G23+H23</f>
        <v>776.47793000000001</v>
      </c>
      <c r="G23" s="1508"/>
      <c r="H23" s="1595">
        <v>776.47793000000001</v>
      </c>
      <c r="I23" s="1486"/>
      <c r="J23" s="1486"/>
      <c r="K23" s="1486"/>
      <c r="L23" s="1497"/>
    </row>
    <row r="24" spans="1:14" s="1187" customFormat="1" ht="21" customHeight="1">
      <c r="A24" s="1484" t="s">
        <v>317</v>
      </c>
      <c r="B24" s="1485" t="s">
        <v>238</v>
      </c>
      <c r="C24" s="1508">
        <f>C25+C35</f>
        <v>35171.999324999997</v>
      </c>
      <c r="D24" s="1508"/>
      <c r="E24" s="1508">
        <f t="shared" ref="E24:H24" si="8">E25+E35</f>
        <v>35171.999324999997</v>
      </c>
      <c r="F24" s="1508">
        <f t="shared" si="8"/>
        <v>57610.657694000009</v>
      </c>
      <c r="G24" s="1508"/>
      <c r="H24" s="1508">
        <f t="shared" si="8"/>
        <v>57610.657694000009</v>
      </c>
      <c r="I24" s="1486">
        <f>F24/C24*100</f>
        <v>163.79693733546384</v>
      </c>
      <c r="J24" s="1486"/>
      <c r="K24" s="1486">
        <f>H24/E24*100</f>
        <v>163.79693733546384</v>
      </c>
      <c r="L24" s="1487"/>
      <c r="M24" s="1188"/>
    </row>
    <row r="25" spans="1:14" s="1187" customFormat="1" ht="21" customHeight="1">
      <c r="A25" s="1484" t="s">
        <v>318</v>
      </c>
      <c r="B25" s="1485" t="s">
        <v>499</v>
      </c>
      <c r="C25" s="1508">
        <f>D25+E25</f>
        <v>31684.115612999998</v>
      </c>
      <c r="D25" s="1508"/>
      <c r="E25" s="1508">
        <f>E26+E29+E32</f>
        <v>31684.115612999998</v>
      </c>
      <c r="F25" s="1508">
        <f>F26+F29+F32</f>
        <v>29126.469160000001</v>
      </c>
      <c r="G25" s="1508"/>
      <c r="H25" s="1508">
        <f>H26+H29+H32</f>
        <v>29126.469160000001</v>
      </c>
      <c r="I25" s="1486">
        <f t="shared" ref="I25:I26" si="9">F25/C25*100</f>
        <v>91.927669737606323</v>
      </c>
      <c r="J25" s="1486"/>
      <c r="K25" s="1486">
        <f t="shared" ref="K25:K26" si="10">H25/E25*100</f>
        <v>91.927669737606323</v>
      </c>
      <c r="L25" s="1483"/>
      <c r="M25" s="1186"/>
      <c r="N25" s="1186"/>
    </row>
    <row r="26" spans="1:14" s="1187" customFormat="1" ht="34.5" customHeight="1">
      <c r="A26" s="1484">
        <v>1</v>
      </c>
      <c r="B26" s="1498" t="s">
        <v>598</v>
      </c>
      <c r="C26" s="1508">
        <f>D26+E26</f>
        <v>2606.3011839999999</v>
      </c>
      <c r="D26" s="1508"/>
      <c r="E26" s="1508">
        <f>E27+E28</f>
        <v>2606.3011839999999</v>
      </c>
      <c r="F26" s="1508">
        <f>+G26+H26</f>
        <v>2178.838612</v>
      </c>
      <c r="G26" s="1508"/>
      <c r="H26" s="1508">
        <f>H27+H28</f>
        <v>2178.838612</v>
      </c>
      <c r="I26" s="1486">
        <f t="shared" si="9"/>
        <v>83.598880489170668</v>
      </c>
      <c r="J26" s="1486"/>
      <c r="K26" s="1486">
        <f t="shared" si="10"/>
        <v>83.598880489170668</v>
      </c>
      <c r="L26" s="1487"/>
    </row>
    <row r="27" spans="1:14" s="1191" customFormat="1" ht="16.5" customHeight="1">
      <c r="A27" s="1493"/>
      <c r="B27" s="1499" t="s">
        <v>61</v>
      </c>
      <c r="C27" s="1510"/>
      <c r="D27" s="1510"/>
      <c r="E27" s="1510"/>
      <c r="F27" s="1510"/>
      <c r="G27" s="1510"/>
      <c r="H27" s="1510"/>
      <c r="I27" s="1494"/>
      <c r="J27" s="1494"/>
      <c r="K27" s="1494"/>
      <c r="L27" s="1500"/>
      <c r="M27" s="1192"/>
    </row>
    <row r="28" spans="1:14" s="1191" customFormat="1" ht="16.5" customHeight="1">
      <c r="A28" s="1493"/>
      <c r="B28" s="1499" t="s">
        <v>116</v>
      </c>
      <c r="C28" s="1510">
        <f>D28+E28</f>
        <v>2606.3011839999999</v>
      </c>
      <c r="D28" s="1510"/>
      <c r="E28" s="1510">
        <f>1418.669939+1187.631245</f>
        <v>2606.3011839999999</v>
      </c>
      <c r="F28" s="1510">
        <f>G28+H28</f>
        <v>2178.838612</v>
      </c>
      <c r="G28" s="1510"/>
      <c r="H28" s="1510">
        <f>1047.847221+1130.991391</f>
        <v>2178.838612</v>
      </c>
      <c r="I28" s="1494">
        <f t="shared" ref="I28" si="11">F28/C28*100</f>
        <v>83.598880489170668</v>
      </c>
      <c r="J28" s="1494"/>
      <c r="K28" s="1494">
        <f t="shared" ref="K28" si="12">H28/E28*100</f>
        <v>83.598880489170668</v>
      </c>
      <c r="L28" s="1500"/>
    </row>
    <row r="29" spans="1:14" s="1187" customFormat="1" ht="33.75" customHeight="1">
      <c r="A29" s="1484">
        <v>2</v>
      </c>
      <c r="B29" s="1498" t="s">
        <v>665</v>
      </c>
      <c r="C29" s="1508">
        <f t="shared" si="0"/>
        <v>3343.5129580000003</v>
      </c>
      <c r="D29" s="1508"/>
      <c r="E29" s="1508">
        <f>SUM(E30:E31)</f>
        <v>3343.5129580000003</v>
      </c>
      <c r="F29" s="1508">
        <f>SUM(F30:F31)</f>
        <v>3180.7089999999998</v>
      </c>
      <c r="G29" s="1508"/>
      <c r="H29" s="1508">
        <f>SUM(H30:H31)</f>
        <v>3180.7089999999998</v>
      </c>
      <c r="I29" s="1486">
        <f t="shared" ref="I29:I37" si="13">F29/C29*100</f>
        <v>95.130751396956299</v>
      </c>
      <c r="J29" s="1486"/>
      <c r="K29" s="1486">
        <f t="shared" ref="K29:K37" si="14">H29/E29*100</f>
        <v>95.130751396956299</v>
      </c>
      <c r="L29" s="1497"/>
    </row>
    <row r="30" spans="1:14" s="1191" customFormat="1" ht="15" customHeight="1">
      <c r="A30" s="1493"/>
      <c r="B30" s="1499" t="s">
        <v>61</v>
      </c>
      <c r="C30" s="1509">
        <f t="shared" si="0"/>
        <v>2883.7910000000002</v>
      </c>
      <c r="D30" s="1510"/>
      <c r="E30" s="1510">
        <f>'51'!C30</f>
        <v>2883.7910000000002</v>
      </c>
      <c r="F30" s="1510">
        <f>G30+H30</f>
        <v>2883.3989999999999</v>
      </c>
      <c r="G30" s="1510"/>
      <c r="H30" s="1510">
        <f>'51'!D30</f>
        <v>2883.3989999999999</v>
      </c>
      <c r="I30" s="1494"/>
      <c r="J30" s="1494"/>
      <c r="K30" s="1494">
        <f t="shared" si="14"/>
        <v>99.986406781906169</v>
      </c>
      <c r="L30" s="1501"/>
    </row>
    <row r="31" spans="1:14" s="1191" customFormat="1" ht="15" customHeight="1">
      <c r="A31" s="1493"/>
      <c r="B31" s="1499" t="s">
        <v>116</v>
      </c>
      <c r="C31" s="1509">
        <f t="shared" si="0"/>
        <v>459.72195799999997</v>
      </c>
      <c r="D31" s="1510"/>
      <c r="E31" s="1510">
        <f>4.721958+455</f>
        <v>459.72195799999997</v>
      </c>
      <c r="F31" s="1510">
        <f>G31+H31</f>
        <v>297.31</v>
      </c>
      <c r="G31" s="1510"/>
      <c r="H31" s="1510">
        <f>4.685+292.625</f>
        <v>297.31</v>
      </c>
      <c r="I31" s="1494">
        <f t="shared" si="13"/>
        <v>64.671698801039227</v>
      </c>
      <c r="J31" s="1494"/>
      <c r="K31" s="1494">
        <f t="shared" si="14"/>
        <v>64.671698801039227</v>
      </c>
      <c r="L31" s="1501"/>
    </row>
    <row r="32" spans="1:14" s="1187" customFormat="1" ht="27.75" customHeight="1">
      <c r="A32" s="1484">
        <v>3</v>
      </c>
      <c r="B32" s="1498" t="s">
        <v>661</v>
      </c>
      <c r="C32" s="1508">
        <f>D32+E32</f>
        <v>25734.301470999999</v>
      </c>
      <c r="D32" s="1508"/>
      <c r="E32" s="1508">
        <f>SUM(E33:E34)</f>
        <v>25734.301470999999</v>
      </c>
      <c r="F32" s="1508">
        <f>SUM(F33:F34)</f>
        <v>23766.921547999998</v>
      </c>
      <c r="G32" s="1508"/>
      <c r="H32" s="1508">
        <f>SUM(H33:H34)</f>
        <v>23766.921547999998</v>
      </c>
      <c r="I32" s="1486">
        <f t="shared" si="13"/>
        <v>92.355028850435119</v>
      </c>
      <c r="J32" s="1486"/>
      <c r="K32" s="1486">
        <f t="shared" si="14"/>
        <v>92.355028850435119</v>
      </c>
      <c r="L32" s="1497"/>
    </row>
    <row r="33" spans="1:14" s="1191" customFormat="1" ht="21" customHeight="1">
      <c r="A33" s="1493"/>
      <c r="B33" s="1499" t="s">
        <v>61</v>
      </c>
      <c r="C33" s="1509">
        <f>D33+E33</f>
        <v>16399.306439</v>
      </c>
      <c r="D33" s="1510"/>
      <c r="E33" s="1510">
        <f>3954.877684+12444.428755</f>
        <v>16399.306439</v>
      </c>
      <c r="F33" s="1510">
        <f>G33+H33</f>
        <v>15373.763094</v>
      </c>
      <c r="G33" s="1510"/>
      <c r="H33" s="1510">
        <f>3299.049794+12074.7133</f>
        <v>15373.763094</v>
      </c>
      <c r="I33" s="1494">
        <f t="shared" si="13"/>
        <v>93.746422455030753</v>
      </c>
      <c r="J33" s="1494"/>
      <c r="K33" s="1494">
        <f t="shared" si="14"/>
        <v>93.746422455030753</v>
      </c>
      <c r="L33" s="1501"/>
    </row>
    <row r="34" spans="1:14" s="1191" customFormat="1" ht="21" customHeight="1">
      <c r="A34" s="1493"/>
      <c r="B34" s="1499" t="s">
        <v>116</v>
      </c>
      <c r="C34" s="1509">
        <f>D34+E34</f>
        <v>9334.9950319999989</v>
      </c>
      <c r="D34" s="1510"/>
      <c r="E34" s="1510">
        <f>2318.91911+6482.34+173.135922+360.6</f>
        <v>9334.9950319999989</v>
      </c>
      <c r="F34" s="1510">
        <f>G34+H34</f>
        <v>8393.1584540000003</v>
      </c>
      <c r="G34" s="1510"/>
      <c r="H34" s="1510">
        <f>1581.710975+6279.111557+172.235922+360.1</f>
        <v>8393.1584540000003</v>
      </c>
      <c r="I34" s="1494">
        <f t="shared" si="13"/>
        <v>89.910690099229626</v>
      </c>
      <c r="J34" s="1494"/>
      <c r="K34" s="1494">
        <f t="shared" si="14"/>
        <v>89.910690099229626</v>
      </c>
      <c r="L34" s="1501"/>
    </row>
    <row r="35" spans="1:14" s="1187" customFormat="1" ht="21" customHeight="1">
      <c r="A35" s="1484" t="s">
        <v>149</v>
      </c>
      <c r="B35" s="1485" t="s">
        <v>1092</v>
      </c>
      <c r="C35" s="1508">
        <f>+C36+C37</f>
        <v>3487.8837119999998</v>
      </c>
      <c r="D35" s="1508"/>
      <c r="E35" s="1508">
        <f>+E36+E37</f>
        <v>3487.8837119999998</v>
      </c>
      <c r="F35" s="1508">
        <f>+F36+F37</f>
        <v>28484.188534000004</v>
      </c>
      <c r="G35" s="1508"/>
      <c r="H35" s="1508">
        <f>+H36+H37</f>
        <v>28484.188534000004</v>
      </c>
      <c r="I35" s="1486">
        <f t="shared" si="13"/>
        <v>816.66107261548541</v>
      </c>
      <c r="J35" s="1486"/>
      <c r="K35" s="1494">
        <f t="shared" si="14"/>
        <v>816.66107261548541</v>
      </c>
      <c r="L35" s="1483"/>
      <c r="M35" s="1186"/>
      <c r="N35" s="1186"/>
    </row>
    <row r="36" spans="1:14" s="1187" customFormat="1" ht="21" customHeight="1">
      <c r="A36" s="1484" t="s">
        <v>117</v>
      </c>
      <c r="B36" s="1485" t="s">
        <v>61</v>
      </c>
      <c r="C36" s="1508"/>
      <c r="D36" s="1508"/>
      <c r="E36" s="1508"/>
      <c r="F36" s="1508"/>
      <c r="G36" s="1508"/>
      <c r="H36" s="1508"/>
      <c r="I36" s="1486"/>
      <c r="J36" s="1486"/>
      <c r="K36" s="1494"/>
      <c r="L36" s="1483"/>
      <c r="M36" s="1186"/>
      <c r="N36" s="1186"/>
    </row>
    <row r="37" spans="1:14" s="1187" customFormat="1" ht="21" customHeight="1">
      <c r="A37" s="1484" t="s">
        <v>117</v>
      </c>
      <c r="B37" s="1485" t="s">
        <v>116</v>
      </c>
      <c r="C37" s="1508">
        <f>E37</f>
        <v>3487.8837119999998</v>
      </c>
      <c r="D37" s="1508"/>
      <c r="E37" s="1508">
        <f>'51'!C38</f>
        <v>3487.8837119999998</v>
      </c>
      <c r="F37" s="1512">
        <f>SUM(F38:F69)</f>
        <v>28484.188534000004</v>
      </c>
      <c r="G37" s="1512"/>
      <c r="H37" s="1512">
        <f>SUM(H38:H69)</f>
        <v>28484.188534000004</v>
      </c>
      <c r="I37" s="1486">
        <f t="shared" si="13"/>
        <v>816.66107261548541</v>
      </c>
      <c r="J37" s="1486"/>
      <c r="K37" s="1515">
        <f t="shared" si="14"/>
        <v>816.66107261548541</v>
      </c>
      <c r="L37" s="1483"/>
      <c r="M37" s="1186"/>
      <c r="N37" s="1186"/>
    </row>
    <row r="38" spans="1:14" s="1190" customFormat="1" ht="44.25" customHeight="1">
      <c r="A38" s="1495">
        <v>1</v>
      </c>
      <c r="B38" s="1513" t="s">
        <v>1353</v>
      </c>
      <c r="C38" s="1509"/>
      <c r="D38" s="1509"/>
      <c r="E38" s="1509"/>
      <c r="F38" s="1509">
        <f t="shared" ref="F38:F52" si="15">SUM(G38:H38)</f>
        <v>2137.377</v>
      </c>
      <c r="G38" s="1509"/>
      <c r="H38" s="1509">
        <v>2137.377</v>
      </c>
      <c r="I38" s="1490"/>
      <c r="J38" s="1490"/>
      <c r="K38" s="1494"/>
      <c r="L38" s="1483"/>
      <c r="M38" s="1186"/>
    </row>
    <row r="39" spans="1:14" s="1190" customFormat="1" ht="44.25" customHeight="1">
      <c r="A39" s="1495">
        <f>A38+1</f>
        <v>2</v>
      </c>
      <c r="B39" s="1513" t="s">
        <v>1354</v>
      </c>
      <c r="C39" s="1509"/>
      <c r="D39" s="1509"/>
      <c r="E39" s="1509"/>
      <c r="F39" s="1509">
        <f t="shared" si="15"/>
        <v>497.86</v>
      </c>
      <c r="G39" s="1509"/>
      <c r="H39" s="1509">
        <v>497.86</v>
      </c>
      <c r="I39" s="1490"/>
      <c r="J39" s="1490"/>
      <c r="K39" s="1494"/>
      <c r="L39" s="1483"/>
      <c r="M39" s="1186"/>
    </row>
    <row r="40" spans="1:14" s="1190" customFormat="1" ht="40.5" customHeight="1">
      <c r="A40" s="1495">
        <f t="shared" ref="A40:A68" si="16">A39+1</f>
        <v>3</v>
      </c>
      <c r="B40" s="1513" t="s">
        <v>1355</v>
      </c>
      <c r="C40" s="1509"/>
      <c r="D40" s="1509"/>
      <c r="E40" s="1509"/>
      <c r="F40" s="1509">
        <f t="shared" si="15"/>
        <v>89.367999999999995</v>
      </c>
      <c r="G40" s="1509"/>
      <c r="H40" s="1509">
        <v>89.367999999999995</v>
      </c>
      <c r="I40" s="1490"/>
      <c r="J40" s="1490"/>
      <c r="K40" s="1494"/>
      <c r="L40" s="1483"/>
      <c r="M40" s="1186"/>
    </row>
    <row r="41" spans="1:14" s="1190" customFormat="1" ht="30" customHeight="1">
      <c r="A41" s="1495">
        <f t="shared" si="16"/>
        <v>4</v>
      </c>
      <c r="B41" s="1495" t="s">
        <v>1035</v>
      </c>
      <c r="C41" s="1509"/>
      <c r="D41" s="1509"/>
      <c r="E41" s="1509"/>
      <c r="F41" s="1509">
        <f t="shared" si="15"/>
        <v>2306.9232000000002</v>
      </c>
      <c r="G41" s="1509"/>
      <c r="H41" s="1509">
        <v>2306.9232000000002</v>
      </c>
      <c r="I41" s="1490"/>
      <c r="J41" s="1490"/>
      <c r="K41" s="1494"/>
      <c r="L41" s="1483"/>
      <c r="M41" s="1186"/>
    </row>
    <row r="42" spans="1:14" s="1190" customFormat="1" ht="21.75" customHeight="1">
      <c r="A42" s="1495">
        <f t="shared" si="16"/>
        <v>5</v>
      </c>
      <c r="B42" s="1495" t="s">
        <v>597</v>
      </c>
      <c r="C42" s="1509"/>
      <c r="D42" s="1509"/>
      <c r="E42" s="1509"/>
      <c r="F42" s="1509">
        <f t="shared" si="15"/>
        <v>2730.35</v>
      </c>
      <c r="G42" s="1509"/>
      <c r="H42" s="1509">
        <v>2730.35</v>
      </c>
      <c r="I42" s="1490"/>
      <c r="J42" s="1490"/>
      <c r="K42" s="1494"/>
      <c r="L42" s="1483"/>
      <c r="M42" s="1186"/>
    </row>
    <row r="43" spans="1:14" s="1190" customFormat="1" ht="21.75" customHeight="1">
      <c r="A43" s="1495">
        <f t="shared" si="16"/>
        <v>6</v>
      </c>
      <c r="B43" s="1495" t="s">
        <v>94</v>
      </c>
      <c r="C43" s="1509"/>
      <c r="D43" s="1509"/>
      <c r="E43" s="1509"/>
      <c r="F43" s="1509">
        <f t="shared" si="15"/>
        <v>22.5</v>
      </c>
      <c r="G43" s="1509"/>
      <c r="H43" s="1509">
        <v>22.5</v>
      </c>
      <c r="I43" s="1490"/>
      <c r="J43" s="1490"/>
      <c r="K43" s="1494"/>
      <c r="L43" s="1483"/>
      <c r="M43" s="1186"/>
    </row>
    <row r="44" spans="1:14" s="1187" customFormat="1" ht="45" customHeight="1">
      <c r="A44" s="1495">
        <f t="shared" si="16"/>
        <v>7</v>
      </c>
      <c r="B44" s="1495" t="s">
        <v>1030</v>
      </c>
      <c r="C44" s="1509"/>
      <c r="D44" s="1509"/>
      <c r="E44" s="1509"/>
      <c r="F44" s="1509">
        <f t="shared" si="15"/>
        <v>88.451999999999998</v>
      </c>
      <c r="G44" s="1509"/>
      <c r="H44" s="1509">
        <v>88.451999999999998</v>
      </c>
      <c r="I44" s="1490"/>
      <c r="J44" s="1490"/>
      <c r="K44" s="1494"/>
      <c r="L44" s="1483"/>
      <c r="M44" s="1186"/>
    </row>
    <row r="45" spans="1:14" s="1190" customFormat="1" ht="26.25" customHeight="1">
      <c r="A45" s="1495">
        <f t="shared" si="16"/>
        <v>8</v>
      </c>
      <c r="B45" s="1495" t="s">
        <v>537</v>
      </c>
      <c r="C45" s="1509"/>
      <c r="D45" s="1509"/>
      <c r="E45" s="1509"/>
      <c r="F45" s="1509">
        <f t="shared" si="15"/>
        <v>0.88564100000000001</v>
      </c>
      <c r="G45" s="1509"/>
      <c r="H45" s="1599">
        <v>0.88564100000000001</v>
      </c>
      <c r="I45" s="1490"/>
      <c r="J45" s="1490"/>
      <c r="K45" s="1494"/>
      <c r="L45" s="1483"/>
      <c r="M45" s="1186"/>
    </row>
    <row r="46" spans="1:14" s="1190" customFormat="1" ht="30" customHeight="1">
      <c r="A46" s="1495">
        <f t="shared" si="16"/>
        <v>9</v>
      </c>
      <c r="B46" s="1495" t="s">
        <v>1356</v>
      </c>
      <c r="C46" s="1509"/>
      <c r="D46" s="1509"/>
      <c r="E46" s="1509"/>
      <c r="F46" s="1509">
        <f t="shared" si="15"/>
        <v>175.89308700000001</v>
      </c>
      <c r="G46" s="1509"/>
      <c r="H46" s="1509">
        <v>175.89308700000001</v>
      </c>
      <c r="I46" s="1490"/>
      <c r="J46" s="1490"/>
      <c r="K46" s="1494"/>
      <c r="L46" s="1483"/>
      <c r="M46" s="1186"/>
    </row>
    <row r="47" spans="1:14" s="1190" customFormat="1" ht="22.5" customHeight="1">
      <c r="A47" s="1495">
        <f t="shared" si="16"/>
        <v>10</v>
      </c>
      <c r="B47" s="1495" t="s">
        <v>662</v>
      </c>
      <c r="C47" s="1509"/>
      <c r="D47" s="1509"/>
      <c r="E47" s="1509"/>
      <c r="F47" s="1509">
        <f t="shared" si="15"/>
        <v>384.32220000000001</v>
      </c>
      <c r="G47" s="1509"/>
      <c r="H47" s="1509">
        <v>384.32220000000001</v>
      </c>
      <c r="I47" s="1490"/>
      <c r="J47" s="1490"/>
      <c r="K47" s="1494"/>
      <c r="L47" s="1483"/>
      <c r="M47" s="1186"/>
    </row>
    <row r="48" spans="1:14" s="1190" customFormat="1" ht="22.5" customHeight="1">
      <c r="A48" s="1495">
        <f t="shared" si="16"/>
        <v>11</v>
      </c>
      <c r="B48" s="1495" t="s">
        <v>663</v>
      </c>
      <c r="C48" s="1509"/>
      <c r="D48" s="1509"/>
      <c r="E48" s="1509"/>
      <c r="F48" s="1509">
        <f t="shared" si="15"/>
        <v>0.76546800000000004</v>
      </c>
      <c r="G48" s="1509"/>
      <c r="H48" s="1509">
        <v>0.76546800000000004</v>
      </c>
      <c r="I48" s="1490"/>
      <c r="J48" s="1490"/>
      <c r="K48" s="1494"/>
      <c r="L48" s="1483"/>
      <c r="M48" s="1186"/>
    </row>
    <row r="49" spans="1:13" s="1190" customFormat="1" ht="22.5" customHeight="1">
      <c r="A49" s="1495">
        <f t="shared" si="16"/>
        <v>12</v>
      </c>
      <c r="B49" s="1513" t="s">
        <v>1390</v>
      </c>
      <c r="C49" s="1509"/>
      <c r="D49" s="1509"/>
      <c r="E49" s="1509"/>
      <c r="F49" s="1509">
        <f t="shared" si="15"/>
        <v>50.696100000000001</v>
      </c>
      <c r="G49" s="1509"/>
      <c r="H49" s="1509">
        <v>50.696100000000001</v>
      </c>
      <c r="I49" s="1490"/>
      <c r="J49" s="1490"/>
      <c r="K49" s="1494"/>
      <c r="L49" s="1483"/>
      <c r="M49" s="1186"/>
    </row>
    <row r="50" spans="1:13" s="1190" customFormat="1" ht="37.5" customHeight="1">
      <c r="A50" s="1495">
        <f t="shared" si="16"/>
        <v>13</v>
      </c>
      <c r="B50" s="1495" t="s">
        <v>693</v>
      </c>
      <c r="C50" s="1509"/>
      <c r="D50" s="1509"/>
      <c r="E50" s="1509"/>
      <c r="F50" s="1509">
        <f t="shared" si="15"/>
        <v>36.299999999999997</v>
      </c>
      <c r="G50" s="1509"/>
      <c r="H50" s="1509">
        <v>36.299999999999997</v>
      </c>
      <c r="I50" s="1490"/>
      <c r="J50" s="1490"/>
      <c r="K50" s="1494"/>
      <c r="L50" s="1483"/>
      <c r="M50" s="1186"/>
    </row>
    <row r="51" spans="1:13" s="1190" customFormat="1" ht="37.5" customHeight="1">
      <c r="A51" s="1495">
        <f t="shared" si="16"/>
        <v>14</v>
      </c>
      <c r="B51" s="1514" t="s">
        <v>1357</v>
      </c>
      <c r="C51" s="1509"/>
      <c r="D51" s="1509"/>
      <c r="E51" s="1509"/>
      <c r="F51" s="1509">
        <f t="shared" si="15"/>
        <v>131.19999999999999</v>
      </c>
      <c r="G51" s="1509"/>
      <c r="H51" s="1509">
        <v>131.19999999999999</v>
      </c>
      <c r="I51" s="1490"/>
      <c r="J51" s="1490"/>
      <c r="K51" s="1494"/>
      <c r="L51" s="1483"/>
      <c r="M51" s="1186"/>
    </row>
    <row r="52" spans="1:13" s="1190" customFormat="1" ht="18" customHeight="1">
      <c r="A52" s="1495">
        <f t="shared" si="16"/>
        <v>15</v>
      </c>
      <c r="B52" s="1495" t="s">
        <v>1015</v>
      </c>
      <c r="C52" s="1509"/>
      <c r="D52" s="1509"/>
      <c r="E52" s="1509"/>
      <c r="F52" s="1509">
        <f t="shared" si="15"/>
        <v>25.9</v>
      </c>
      <c r="G52" s="1509"/>
      <c r="H52" s="1509">
        <v>25.9</v>
      </c>
      <c r="I52" s="1490"/>
      <c r="J52" s="1490"/>
      <c r="K52" s="1494"/>
      <c r="L52" s="1483"/>
      <c r="M52" s="1186"/>
    </row>
    <row r="53" spans="1:13" s="1190" customFormat="1" ht="60">
      <c r="A53" s="1495">
        <f t="shared" si="16"/>
        <v>16</v>
      </c>
      <c r="B53" s="1596" t="s">
        <v>1358</v>
      </c>
      <c r="C53" s="1597"/>
      <c r="D53" s="1509"/>
      <c r="E53" s="1597"/>
      <c r="F53" s="1597">
        <v>2952.2190000000001</v>
      </c>
      <c r="G53" s="1509"/>
      <c r="H53" s="1597">
        <v>2952.2190000000001</v>
      </c>
      <c r="I53" s="1490"/>
      <c r="J53" s="1490"/>
      <c r="K53" s="1494"/>
      <c r="L53" s="1483"/>
      <c r="M53" s="1186"/>
    </row>
    <row r="54" spans="1:13" s="1190" customFormat="1" ht="60">
      <c r="A54" s="1495">
        <f t="shared" si="16"/>
        <v>17</v>
      </c>
      <c r="B54" s="1596" t="s">
        <v>1359</v>
      </c>
      <c r="C54" s="1597"/>
      <c r="D54" s="1509"/>
      <c r="E54" s="1597"/>
      <c r="F54" s="1597">
        <v>748.55399999999997</v>
      </c>
      <c r="G54" s="1509"/>
      <c r="H54" s="1597">
        <v>748.55399999999997</v>
      </c>
      <c r="I54" s="1490"/>
      <c r="J54" s="1490"/>
      <c r="K54" s="1494"/>
      <c r="L54" s="1483"/>
      <c r="M54" s="1186"/>
    </row>
    <row r="55" spans="1:13" s="1190" customFormat="1" ht="36">
      <c r="A55" s="1495">
        <f t="shared" si="16"/>
        <v>18</v>
      </c>
      <c r="B55" s="1596" t="s">
        <v>1360</v>
      </c>
      <c r="C55" s="1597"/>
      <c r="D55" s="1509"/>
      <c r="E55" s="1597"/>
      <c r="F55" s="1597">
        <v>702.9</v>
      </c>
      <c r="G55" s="1509"/>
      <c r="H55" s="1597">
        <v>702.9</v>
      </c>
      <c r="I55" s="1490"/>
      <c r="J55" s="1490"/>
      <c r="K55" s="1494"/>
      <c r="L55" s="1483"/>
      <c r="M55" s="1186"/>
    </row>
    <row r="56" spans="1:13" s="1190" customFormat="1" ht="60">
      <c r="A56" s="1495">
        <f t="shared" si="16"/>
        <v>19</v>
      </c>
      <c r="B56" s="1596" t="s">
        <v>1361</v>
      </c>
      <c r="C56" s="1597"/>
      <c r="D56" s="1509"/>
      <c r="E56" s="1597"/>
      <c r="F56" s="1597">
        <v>908.31487500000003</v>
      </c>
      <c r="G56" s="1509"/>
      <c r="H56" s="1597">
        <v>908.31487500000003</v>
      </c>
      <c r="I56" s="1490"/>
      <c r="J56" s="1490"/>
      <c r="K56" s="1494"/>
      <c r="L56" s="1483"/>
      <c r="M56" s="1186"/>
    </row>
    <row r="57" spans="1:13" s="1190" customFormat="1" ht="36">
      <c r="A57" s="1495">
        <f t="shared" si="16"/>
        <v>20</v>
      </c>
      <c r="B57" s="1596" t="s">
        <v>1362</v>
      </c>
      <c r="C57" s="1597"/>
      <c r="D57" s="1509"/>
      <c r="E57" s="1597"/>
      <c r="F57" s="1597">
        <v>950.54399999999998</v>
      </c>
      <c r="G57" s="1509"/>
      <c r="H57" s="1597">
        <v>950.54399999999998</v>
      </c>
      <c r="I57" s="1490"/>
      <c r="J57" s="1490"/>
      <c r="K57" s="1494"/>
      <c r="L57" s="1483"/>
      <c r="M57" s="1186"/>
    </row>
    <row r="58" spans="1:13" s="1190" customFormat="1" ht="60">
      <c r="A58" s="1495">
        <f t="shared" si="16"/>
        <v>21</v>
      </c>
      <c r="B58" s="1596" t="s">
        <v>1363</v>
      </c>
      <c r="C58" s="1597"/>
      <c r="D58" s="1509"/>
      <c r="E58" s="1597"/>
      <c r="F58" s="1597">
        <v>2965.6648129999999</v>
      </c>
      <c r="G58" s="1509"/>
      <c r="H58" s="1597">
        <v>2965.6648129999999</v>
      </c>
      <c r="I58" s="1490"/>
      <c r="J58" s="1490"/>
      <c r="K58" s="1494"/>
      <c r="L58" s="1483"/>
      <c r="M58" s="1186"/>
    </row>
    <row r="59" spans="1:13" s="1190" customFormat="1" ht="72">
      <c r="A59" s="1495">
        <f t="shared" si="16"/>
        <v>22</v>
      </c>
      <c r="B59" s="1596" t="s">
        <v>1364</v>
      </c>
      <c r="C59" s="1597"/>
      <c r="D59" s="1509"/>
      <c r="E59" s="1597"/>
      <c r="F59" s="1597">
        <v>1753.28925</v>
      </c>
      <c r="G59" s="1509"/>
      <c r="H59" s="1597">
        <v>1753.28925</v>
      </c>
      <c r="I59" s="1490"/>
      <c r="J59" s="1490"/>
      <c r="K59" s="1494"/>
      <c r="L59" s="1483"/>
      <c r="M59" s="1186"/>
    </row>
    <row r="60" spans="1:13" s="1190" customFormat="1" ht="48">
      <c r="A60" s="1495">
        <f t="shared" si="16"/>
        <v>23</v>
      </c>
      <c r="B60" s="1596" t="s">
        <v>1387</v>
      </c>
      <c r="C60" s="1597"/>
      <c r="D60" s="1509"/>
      <c r="E60" s="1597"/>
      <c r="F60" s="1597">
        <v>143.20259999999999</v>
      </c>
      <c r="G60" s="1509"/>
      <c r="H60" s="1597">
        <v>143.20259999999999</v>
      </c>
      <c r="I60" s="1490"/>
      <c r="J60" s="1490"/>
      <c r="K60" s="1494"/>
      <c r="L60" s="1483"/>
      <c r="M60" s="1186"/>
    </row>
    <row r="61" spans="1:13" s="1190" customFormat="1" ht="24">
      <c r="A61" s="1495">
        <f t="shared" si="16"/>
        <v>24</v>
      </c>
      <c r="B61" s="1596" t="s">
        <v>1388</v>
      </c>
      <c r="C61" s="1597"/>
      <c r="D61" s="1509"/>
      <c r="E61" s="1597"/>
      <c r="F61" s="1597">
        <v>10</v>
      </c>
      <c r="G61" s="1509"/>
      <c r="H61" s="1597">
        <v>10</v>
      </c>
      <c r="I61" s="1490"/>
      <c r="J61" s="1490"/>
      <c r="K61" s="1494"/>
      <c r="L61" s="1483"/>
      <c r="M61" s="1186"/>
    </row>
    <row r="62" spans="1:13" s="1190" customFormat="1" ht="48">
      <c r="A62" s="1495">
        <f t="shared" si="16"/>
        <v>25</v>
      </c>
      <c r="B62" s="1596" t="s">
        <v>1389</v>
      </c>
      <c r="C62" s="1597"/>
      <c r="D62" s="1509"/>
      <c r="E62" s="1597"/>
      <c r="F62" s="1597">
        <v>1489.0605</v>
      </c>
      <c r="G62" s="1509"/>
      <c r="H62" s="1597">
        <v>1489.0605</v>
      </c>
      <c r="I62" s="1490"/>
      <c r="J62" s="1490"/>
      <c r="K62" s="1494"/>
      <c r="L62" s="1483"/>
      <c r="M62" s="1186"/>
    </row>
    <row r="63" spans="1:13" s="1190" customFormat="1" ht="24">
      <c r="A63" s="1495">
        <f t="shared" si="16"/>
        <v>26</v>
      </c>
      <c r="B63" s="1596" t="s">
        <v>1371</v>
      </c>
      <c r="C63" s="1597"/>
      <c r="D63" s="1509"/>
      <c r="E63" s="1597"/>
      <c r="F63" s="1597">
        <v>2534.7240499999998</v>
      </c>
      <c r="G63" s="1509"/>
      <c r="H63" s="1597">
        <v>2534.7240499999998</v>
      </c>
      <c r="I63" s="1490"/>
      <c r="J63" s="1490"/>
      <c r="K63" s="1494"/>
      <c r="L63" s="1483"/>
      <c r="M63" s="1186"/>
    </row>
    <row r="64" spans="1:13" s="1190" customFormat="1" ht="36">
      <c r="A64" s="1495">
        <f t="shared" si="16"/>
        <v>27</v>
      </c>
      <c r="B64" s="1596" t="s">
        <v>1370</v>
      </c>
      <c r="C64" s="1597"/>
      <c r="D64" s="1509"/>
      <c r="E64" s="1597"/>
      <c r="F64" s="1597">
        <v>930</v>
      </c>
      <c r="G64" s="1509"/>
      <c r="H64" s="1597">
        <v>930</v>
      </c>
      <c r="I64" s="1490"/>
      <c r="J64" s="1490"/>
      <c r="K64" s="1494"/>
      <c r="L64" s="1483"/>
      <c r="M64" s="1186"/>
    </row>
    <row r="65" spans="1:13" s="1190" customFormat="1" ht="36">
      <c r="A65" s="1495">
        <f t="shared" si="16"/>
        <v>28</v>
      </c>
      <c r="B65" s="1596" t="s">
        <v>1369</v>
      </c>
      <c r="C65" s="1597"/>
      <c r="D65" s="1509"/>
      <c r="E65" s="1597"/>
      <c r="F65" s="1509">
        <v>2969.83</v>
      </c>
      <c r="G65" s="1509"/>
      <c r="H65" s="1509">
        <v>2969.83</v>
      </c>
      <c r="I65" s="1490"/>
      <c r="J65" s="1490"/>
      <c r="K65" s="1494"/>
      <c r="L65" s="1483"/>
      <c r="M65" s="1186"/>
    </row>
    <row r="66" spans="1:13" s="1190" customFormat="1" ht="36">
      <c r="A66" s="1495">
        <f t="shared" si="16"/>
        <v>29</v>
      </c>
      <c r="B66" s="1596" t="s">
        <v>1368</v>
      </c>
      <c r="C66" s="1597"/>
      <c r="D66" s="1509"/>
      <c r="E66" s="1597"/>
      <c r="F66" s="1597">
        <v>123</v>
      </c>
      <c r="G66" s="1509"/>
      <c r="H66" s="1597">
        <v>123</v>
      </c>
      <c r="I66" s="1490"/>
      <c r="J66" s="1490"/>
      <c r="K66" s="1494"/>
      <c r="L66" s="1483"/>
      <c r="M66" s="1186"/>
    </row>
    <row r="67" spans="1:13" s="1190" customFormat="1" ht="36">
      <c r="A67" s="1495">
        <f t="shared" si="16"/>
        <v>30</v>
      </c>
      <c r="B67" s="1596" t="s">
        <v>1367</v>
      </c>
      <c r="C67" s="1597"/>
      <c r="D67" s="1509"/>
      <c r="E67" s="1597"/>
      <c r="F67" s="1597">
        <v>60</v>
      </c>
      <c r="G67" s="1509"/>
      <c r="H67" s="1597">
        <v>60</v>
      </c>
      <c r="I67" s="1490"/>
      <c r="J67" s="1490"/>
      <c r="K67" s="1494"/>
      <c r="L67" s="1483"/>
      <c r="M67" s="1186"/>
    </row>
    <row r="68" spans="1:13" s="1190" customFormat="1" ht="72">
      <c r="A68" s="1495">
        <f t="shared" si="16"/>
        <v>31</v>
      </c>
      <c r="B68" s="1596" t="s">
        <v>1366</v>
      </c>
      <c r="C68" s="1597"/>
      <c r="D68" s="1509"/>
      <c r="E68" s="1597"/>
      <c r="F68" s="1597">
        <v>196</v>
      </c>
      <c r="G68" s="1509"/>
      <c r="H68" s="1597">
        <v>196</v>
      </c>
      <c r="I68" s="1490"/>
      <c r="J68" s="1490"/>
      <c r="K68" s="1494"/>
      <c r="L68" s="1483"/>
      <c r="M68" s="1186"/>
    </row>
    <row r="69" spans="1:13" s="1190" customFormat="1" ht="36">
      <c r="A69" s="1495">
        <v>32</v>
      </c>
      <c r="B69" s="1596" t="s">
        <v>1365</v>
      </c>
      <c r="C69" s="1597"/>
      <c r="D69" s="1509"/>
      <c r="E69" s="1597"/>
      <c r="F69" s="1597">
        <v>368.09275000000002</v>
      </c>
      <c r="G69" s="1509"/>
      <c r="H69" s="1597">
        <v>368.09275000000002</v>
      </c>
      <c r="I69" s="1490"/>
      <c r="J69" s="1490"/>
      <c r="K69" s="1494"/>
      <c r="L69" s="1483"/>
      <c r="M69" s="1186"/>
    </row>
    <row r="70" spans="1:13" s="1630" customFormat="1" ht="25.5" customHeight="1">
      <c r="A70" s="1626" t="s">
        <v>246</v>
      </c>
      <c r="B70" s="1627" t="s">
        <v>333</v>
      </c>
      <c r="C70" s="1628"/>
      <c r="D70" s="1564"/>
      <c r="E70" s="1564"/>
      <c r="F70" s="1564">
        <f>G70+H70</f>
        <v>11664.487961000001</v>
      </c>
      <c r="G70" s="1564"/>
      <c r="H70" s="1629">
        <v>11664.487961000001</v>
      </c>
      <c r="I70" s="379"/>
      <c r="J70" s="379"/>
      <c r="K70" s="1631"/>
      <c r="L70" s="367"/>
    </row>
    <row r="71" spans="1:13" s="367" customFormat="1" ht="27.75" customHeight="1">
      <c r="A71" s="370"/>
      <c r="B71" s="371"/>
      <c r="C71" s="1018"/>
      <c r="D71" s="1018"/>
      <c r="E71" s="1018"/>
      <c r="F71" s="1018"/>
      <c r="G71" s="1676"/>
      <c r="H71" s="1676"/>
      <c r="I71" s="1676"/>
      <c r="J71" s="1676"/>
      <c r="K71" s="1676"/>
    </row>
    <row r="72" spans="1:13" s="367" customFormat="1" ht="18" customHeight="1">
      <c r="A72" s="370"/>
      <c r="B72" s="371"/>
      <c r="C72" s="1018"/>
      <c r="D72" s="1018"/>
      <c r="E72" s="1018"/>
      <c r="F72" s="1018"/>
      <c r="G72" s="1672"/>
      <c r="H72" s="1672"/>
      <c r="I72" s="1672"/>
      <c r="J72" s="1672"/>
      <c r="K72" s="1672"/>
    </row>
    <row r="73" spans="1:13" s="367" customFormat="1" ht="18" customHeight="1">
      <c r="A73" s="370"/>
      <c r="B73" s="371"/>
      <c r="C73" s="1018"/>
      <c r="D73" s="1018"/>
      <c r="E73" s="1018"/>
      <c r="F73" s="1018"/>
      <c r="G73" s="1672"/>
      <c r="H73" s="1672"/>
      <c r="I73" s="1672"/>
      <c r="J73" s="1672"/>
      <c r="K73" s="1672"/>
    </row>
    <row r="74" spans="1:13" s="367" customFormat="1" ht="17.25" customHeight="1">
      <c r="A74" s="370"/>
      <c r="B74" s="371"/>
      <c r="C74" s="1018"/>
      <c r="D74" s="1018"/>
      <c r="E74" s="1018"/>
      <c r="F74" s="1018"/>
      <c r="G74" s="1676"/>
      <c r="H74" s="1676"/>
      <c r="I74" s="1676"/>
      <c r="J74" s="1676"/>
      <c r="K74" s="1676"/>
    </row>
    <row r="75" spans="1:13" s="367" customFormat="1" ht="25.5" customHeight="1">
      <c r="A75" s="370"/>
      <c r="B75" s="371"/>
      <c r="C75" s="1018"/>
      <c r="D75" s="1018"/>
      <c r="E75" s="1018"/>
      <c r="F75" s="1018"/>
      <c r="G75" s="33"/>
      <c r="H75" s="36"/>
      <c r="I75" s="26"/>
      <c r="J75" s="33"/>
      <c r="K75" s="1019"/>
    </row>
    <row r="76" spans="1:13" s="367" customFormat="1" ht="25.5" customHeight="1">
      <c r="A76" s="370"/>
      <c r="B76" s="371"/>
      <c r="C76" s="1018"/>
      <c r="D76" s="1018"/>
      <c r="E76" s="1018"/>
      <c r="F76" s="1018"/>
      <c r="G76" s="33"/>
      <c r="H76" s="36"/>
      <c r="I76" s="26"/>
      <c r="J76" s="33"/>
      <c r="K76" s="1019"/>
    </row>
    <row r="77" spans="1:13" s="367" customFormat="1" ht="12" customHeight="1">
      <c r="A77" s="370"/>
      <c r="B77" s="371"/>
      <c r="C77" s="1018"/>
      <c r="D77" s="1018"/>
      <c r="E77" s="1018"/>
      <c r="F77" s="1018"/>
      <c r="G77" s="33"/>
      <c r="H77" s="36"/>
      <c r="I77" s="26"/>
      <c r="J77" s="33"/>
      <c r="K77" s="1019"/>
    </row>
    <row r="78" spans="1:13" s="367" customFormat="1" ht="12" customHeight="1">
      <c r="A78" s="370"/>
      <c r="B78" s="371"/>
      <c r="C78" s="1018"/>
      <c r="D78" s="1018"/>
      <c r="E78" s="1018"/>
      <c r="F78" s="1018"/>
      <c r="G78" s="33"/>
      <c r="H78" s="36"/>
      <c r="I78" s="26"/>
      <c r="J78" s="33"/>
      <c r="K78" s="1019"/>
    </row>
    <row r="79" spans="1:13" s="367" customFormat="1" ht="12" customHeight="1">
      <c r="A79" s="370"/>
      <c r="B79" s="371"/>
      <c r="C79" s="1018"/>
      <c r="D79" s="1018"/>
      <c r="E79" s="1018"/>
      <c r="F79" s="1018"/>
      <c r="G79" s="33"/>
      <c r="H79" s="36"/>
      <c r="I79" s="26"/>
      <c r="J79" s="33"/>
      <c r="K79" s="1019"/>
    </row>
    <row r="80" spans="1:13" s="367" customFormat="1" ht="25.5" customHeight="1">
      <c r="A80" s="370"/>
      <c r="B80" s="371"/>
      <c r="C80" s="1018"/>
      <c r="D80" s="1018"/>
      <c r="E80" s="1018"/>
      <c r="F80" s="1018"/>
      <c r="G80" s="1678"/>
      <c r="H80" s="1678"/>
      <c r="I80" s="1678"/>
      <c r="J80" s="1678"/>
      <c r="K80" s="1678"/>
    </row>
    <row r="81" spans="1:11" s="367" customFormat="1" ht="25.5" customHeight="1">
      <c r="A81" s="370"/>
      <c r="B81" s="371"/>
      <c r="C81" s="1018"/>
      <c r="D81" s="1018"/>
      <c r="E81" s="1018"/>
      <c r="F81" s="1018"/>
      <c r="G81" s="1018"/>
      <c r="H81" s="1018"/>
      <c r="I81" s="1019"/>
      <c r="J81" s="1019"/>
      <c r="K81" s="1019"/>
    </row>
    <row r="82" spans="1:11" s="367" customFormat="1" ht="25.5" customHeight="1">
      <c r="A82" s="370"/>
      <c r="B82" s="371"/>
      <c r="C82" s="1018"/>
      <c r="D82" s="1018"/>
      <c r="E82" s="1018"/>
      <c r="F82" s="1018"/>
      <c r="G82" s="1018"/>
      <c r="H82" s="1018"/>
      <c r="I82" s="1019"/>
      <c r="J82" s="1019"/>
      <c r="K82" s="1019"/>
    </row>
    <row r="83" spans="1:11" s="367" customFormat="1" ht="25.5" customHeight="1">
      <c r="A83" s="370"/>
      <c r="B83" s="371"/>
      <c r="C83" s="1018"/>
      <c r="D83" s="1018"/>
      <c r="E83" s="1018"/>
      <c r="F83" s="1018"/>
      <c r="G83" s="1018"/>
      <c r="H83" s="1018"/>
      <c r="I83" s="1019"/>
      <c r="J83" s="1019"/>
      <c r="K83" s="1019"/>
    </row>
    <row r="84" spans="1:11" s="367" customFormat="1" ht="25.5" customHeight="1">
      <c r="A84" s="370"/>
      <c r="B84" s="371"/>
      <c r="C84" s="1018"/>
      <c r="D84" s="1018"/>
      <c r="E84" s="1018"/>
      <c r="F84" s="1018"/>
      <c r="G84" s="1018"/>
      <c r="H84" s="1018"/>
      <c r="I84" s="1019"/>
      <c r="J84" s="1019"/>
      <c r="K84" s="1019"/>
    </row>
    <row r="85" spans="1:11" s="367" customFormat="1" ht="25.5" customHeight="1">
      <c r="A85" s="370"/>
      <c r="B85" s="371"/>
      <c r="C85" s="1018"/>
      <c r="D85" s="1018"/>
      <c r="E85" s="1018"/>
      <c r="F85" s="1018"/>
      <c r="G85" s="1018"/>
      <c r="H85" s="1018"/>
      <c r="I85" s="1019"/>
      <c r="J85" s="1019"/>
      <c r="K85" s="1019"/>
    </row>
    <row r="86" spans="1:11" s="367" customFormat="1" ht="25.5" customHeight="1">
      <c r="A86" s="370"/>
      <c r="B86" s="371"/>
      <c r="C86" s="1018"/>
      <c r="D86" s="1018"/>
      <c r="E86" s="1018"/>
      <c r="F86" s="1018"/>
      <c r="G86" s="1018"/>
      <c r="H86" s="1018"/>
      <c r="I86" s="1019"/>
      <c r="J86" s="1019"/>
      <c r="K86" s="1019"/>
    </row>
    <row r="87" spans="1:11" s="367" customFormat="1" ht="25.5" customHeight="1">
      <c r="A87" s="370"/>
      <c r="B87" s="371"/>
      <c r="C87" s="1018"/>
      <c r="D87" s="1018"/>
      <c r="E87" s="1018"/>
      <c r="F87" s="1018"/>
      <c r="G87" s="1018"/>
      <c r="H87" s="1018"/>
      <c r="I87" s="1019"/>
      <c r="J87" s="1019"/>
      <c r="K87" s="1019"/>
    </row>
    <row r="88" spans="1:11" s="367" customFormat="1" ht="25.5" customHeight="1">
      <c r="A88" s="370"/>
      <c r="B88" s="371"/>
      <c r="C88" s="1018"/>
      <c r="D88" s="1018"/>
      <c r="E88" s="1018"/>
      <c r="F88" s="1018"/>
      <c r="G88" s="1018"/>
      <c r="H88" s="1018"/>
      <c r="I88" s="1019"/>
      <c r="J88" s="1019"/>
      <c r="K88" s="1019"/>
    </row>
    <row r="89" spans="1:11" s="367" customFormat="1" ht="25.5" customHeight="1">
      <c r="A89" s="370"/>
      <c r="B89" s="371"/>
      <c r="C89" s="1018"/>
      <c r="D89" s="1018"/>
      <c r="E89" s="1018"/>
      <c r="F89" s="1018"/>
      <c r="G89" s="1018"/>
      <c r="H89" s="1018"/>
      <c r="I89" s="1019"/>
      <c r="J89" s="1019"/>
      <c r="K89" s="1019"/>
    </row>
    <row r="90" spans="1:11" s="367" customFormat="1" ht="25.5" customHeight="1">
      <c r="A90" s="370"/>
      <c r="B90" s="371"/>
      <c r="C90" s="1018"/>
      <c r="D90" s="1018"/>
      <c r="E90" s="1018"/>
      <c r="F90" s="1018"/>
      <c r="G90" s="1018"/>
      <c r="H90" s="1018"/>
      <c r="I90" s="1019"/>
      <c r="J90" s="1019"/>
      <c r="K90" s="1019"/>
    </row>
    <row r="91" spans="1:11" s="367" customFormat="1" ht="25.5" customHeight="1">
      <c r="A91" s="370"/>
      <c r="B91" s="371"/>
      <c r="C91" s="1018"/>
      <c r="D91" s="1018"/>
      <c r="E91" s="1018"/>
      <c r="F91" s="1018"/>
      <c r="G91" s="1018"/>
      <c r="H91" s="1018"/>
      <c r="I91" s="1019"/>
      <c r="J91" s="1019"/>
      <c r="K91" s="1019"/>
    </row>
    <row r="92" spans="1:11" s="367" customFormat="1" ht="25.5" customHeight="1">
      <c r="A92" s="370"/>
      <c r="B92" s="371"/>
      <c r="C92" s="1018"/>
      <c r="D92" s="1018"/>
      <c r="E92" s="1018"/>
      <c r="F92" s="1018"/>
      <c r="G92" s="1018"/>
      <c r="H92" s="1018"/>
      <c r="I92" s="1019"/>
      <c r="J92" s="1019"/>
      <c r="K92" s="1019"/>
    </row>
    <row r="93" spans="1:11" s="367" customFormat="1" ht="25.5" customHeight="1">
      <c r="A93" s="370"/>
      <c r="B93" s="371"/>
      <c r="C93" s="1018"/>
      <c r="D93" s="1018"/>
      <c r="E93" s="1018"/>
      <c r="F93" s="1018"/>
      <c r="G93" s="1018"/>
      <c r="H93" s="1018"/>
      <c r="I93" s="1019"/>
      <c r="J93" s="1019"/>
      <c r="K93" s="1019"/>
    </row>
    <row r="94" spans="1:11" s="367" customFormat="1" ht="25.5" customHeight="1">
      <c r="A94" s="370"/>
      <c r="B94" s="371"/>
      <c r="C94" s="1018"/>
      <c r="D94" s="1018"/>
      <c r="E94" s="1018"/>
      <c r="F94" s="1018"/>
      <c r="G94" s="1018"/>
      <c r="H94" s="1018"/>
      <c r="I94" s="1019"/>
      <c r="J94" s="1019"/>
      <c r="K94" s="1019"/>
    </row>
    <row r="95" spans="1:11" s="367" customFormat="1" ht="25.5" customHeight="1">
      <c r="A95" s="370"/>
      <c r="B95" s="371"/>
      <c r="C95" s="1018"/>
      <c r="D95" s="1018"/>
      <c r="E95" s="1018"/>
      <c r="F95" s="1018"/>
      <c r="G95" s="1018"/>
      <c r="H95" s="1018"/>
      <c r="I95" s="1019"/>
      <c r="J95" s="1019"/>
      <c r="K95" s="1019"/>
    </row>
    <row r="96" spans="1:11" s="367" customFormat="1" ht="25.5" customHeight="1">
      <c r="A96" s="370"/>
      <c r="B96" s="371"/>
      <c r="C96" s="1018"/>
      <c r="D96" s="1018"/>
      <c r="E96" s="1018"/>
      <c r="F96" s="1018"/>
      <c r="G96" s="1018"/>
      <c r="H96" s="1018"/>
      <c r="I96" s="1019"/>
      <c r="J96" s="1019"/>
      <c r="K96" s="1019"/>
    </row>
    <row r="97" spans="1:11" s="367" customFormat="1" ht="25.5" customHeight="1">
      <c r="A97" s="370"/>
      <c r="B97" s="371"/>
      <c r="C97" s="1018"/>
      <c r="D97" s="1018"/>
      <c r="E97" s="1018"/>
      <c r="F97" s="1018"/>
      <c r="G97" s="1018"/>
      <c r="H97" s="1018"/>
      <c r="I97" s="1019"/>
      <c r="J97" s="1019"/>
      <c r="K97" s="1019"/>
    </row>
    <row r="98" spans="1:11" s="367" customFormat="1" ht="25.5" customHeight="1">
      <c r="A98" s="370"/>
      <c r="B98" s="371"/>
      <c r="C98" s="1018"/>
      <c r="D98" s="1018"/>
      <c r="E98" s="1018"/>
      <c r="F98" s="1018"/>
      <c r="G98" s="1018"/>
      <c r="H98" s="1018"/>
      <c r="I98" s="1019"/>
      <c r="J98" s="1019"/>
      <c r="K98" s="1019"/>
    </row>
    <row r="99" spans="1:11" s="367" customFormat="1" ht="25.5" customHeight="1">
      <c r="A99" s="370"/>
      <c r="B99" s="371"/>
      <c r="C99" s="1018"/>
      <c r="D99" s="1018"/>
      <c r="E99" s="1018"/>
      <c r="F99" s="1018"/>
      <c r="G99" s="1018"/>
      <c r="H99" s="1018"/>
      <c r="I99" s="1019"/>
      <c r="J99" s="1019"/>
      <c r="K99" s="1019"/>
    </row>
    <row r="100" spans="1:11" s="367" customFormat="1" ht="25.5" customHeight="1">
      <c r="A100" s="370"/>
      <c r="B100" s="371"/>
      <c r="C100" s="1018"/>
      <c r="D100" s="1018"/>
      <c r="E100" s="1018"/>
      <c r="F100" s="1018"/>
      <c r="G100" s="1018"/>
      <c r="H100" s="1018"/>
      <c r="I100" s="1019"/>
      <c r="J100" s="1019"/>
      <c r="K100" s="1019"/>
    </row>
    <row r="101" spans="1:11" s="367" customFormat="1" ht="25.5" customHeight="1">
      <c r="A101" s="370"/>
      <c r="B101" s="371"/>
      <c r="C101" s="1018"/>
      <c r="D101" s="1018"/>
      <c r="E101" s="1018"/>
      <c r="F101" s="1018"/>
      <c r="G101" s="1018"/>
      <c r="H101" s="1018"/>
      <c r="I101" s="1019"/>
      <c r="J101" s="1019"/>
      <c r="K101" s="1019"/>
    </row>
    <row r="102" spans="1:11" s="367" customFormat="1" ht="25.5" customHeight="1">
      <c r="A102" s="370"/>
      <c r="B102" s="371"/>
      <c r="C102" s="1018"/>
      <c r="D102" s="1018"/>
      <c r="E102" s="1018"/>
      <c r="F102" s="1018"/>
      <c r="G102" s="1018"/>
      <c r="H102" s="1018"/>
      <c r="I102" s="1019"/>
      <c r="J102" s="1019"/>
      <c r="K102" s="1019"/>
    </row>
    <row r="103" spans="1:11" s="367" customFormat="1" ht="25.5" customHeight="1">
      <c r="A103" s="370"/>
      <c r="B103" s="371"/>
      <c r="C103" s="1018"/>
      <c r="D103" s="1018"/>
      <c r="E103" s="1018"/>
      <c r="F103" s="1018"/>
      <c r="G103" s="1018"/>
      <c r="H103" s="1018"/>
      <c r="I103" s="1019"/>
      <c r="J103" s="1019"/>
      <c r="K103" s="1019"/>
    </row>
    <row r="104" spans="1:11" s="367" customFormat="1" ht="25.5" customHeight="1">
      <c r="A104" s="370"/>
      <c r="B104" s="371"/>
      <c r="C104" s="1018"/>
      <c r="D104" s="1018"/>
      <c r="E104" s="1018"/>
      <c r="F104" s="1018"/>
      <c r="G104" s="1018"/>
      <c r="H104" s="1018"/>
      <c r="I104" s="1019"/>
      <c r="J104" s="1019"/>
      <c r="K104" s="1019"/>
    </row>
    <row r="105" spans="1:11" s="367" customFormat="1" ht="25.5" customHeight="1">
      <c r="A105" s="370"/>
      <c r="B105" s="371"/>
      <c r="C105" s="1018"/>
      <c r="D105" s="1018"/>
      <c r="E105" s="1018"/>
      <c r="F105" s="1018"/>
      <c r="G105" s="1018"/>
      <c r="H105" s="1018"/>
      <c r="I105" s="1019"/>
      <c r="J105" s="1019"/>
      <c r="K105" s="1019"/>
    </row>
    <row r="106" spans="1:11" s="367" customFormat="1" ht="25.5" customHeight="1">
      <c r="A106" s="370"/>
      <c r="B106" s="371"/>
      <c r="C106" s="1018"/>
      <c r="D106" s="1018"/>
      <c r="E106" s="1018"/>
      <c r="F106" s="1018"/>
      <c r="G106" s="1018"/>
      <c r="H106" s="1018"/>
      <c r="I106" s="1019"/>
      <c r="J106" s="1019"/>
      <c r="K106" s="1019"/>
    </row>
    <row r="107" spans="1:11" s="367" customFormat="1" ht="25.5" customHeight="1">
      <c r="A107" s="370"/>
      <c r="B107" s="371"/>
      <c r="C107" s="1018"/>
      <c r="D107" s="1018"/>
      <c r="E107" s="1018"/>
      <c r="F107" s="1018"/>
      <c r="G107" s="1018"/>
      <c r="H107" s="1018"/>
      <c r="I107" s="1019"/>
      <c r="J107" s="1019"/>
      <c r="K107" s="1019"/>
    </row>
    <row r="108" spans="1:11" s="367" customFormat="1" ht="25.5" customHeight="1">
      <c r="A108" s="370"/>
      <c r="B108" s="371"/>
      <c r="C108" s="1018"/>
      <c r="D108" s="1018"/>
      <c r="E108" s="1018"/>
      <c r="F108" s="1018"/>
      <c r="G108" s="1018"/>
      <c r="H108" s="1018"/>
      <c r="I108" s="1019"/>
      <c r="J108" s="1019"/>
      <c r="K108" s="1019"/>
    </row>
    <row r="109" spans="1:11" s="367" customFormat="1" ht="25.5" customHeight="1">
      <c r="A109" s="370"/>
      <c r="B109" s="371"/>
      <c r="C109" s="1018"/>
      <c r="D109" s="1018"/>
      <c r="E109" s="1018"/>
      <c r="F109" s="1018"/>
      <c r="G109" s="1018"/>
      <c r="H109" s="1018"/>
      <c r="I109" s="1019"/>
      <c r="J109" s="1019"/>
      <c r="K109" s="1019"/>
    </row>
    <row r="110" spans="1:11" s="367" customFormat="1" ht="25.5" customHeight="1">
      <c r="A110" s="370"/>
      <c r="B110" s="371"/>
      <c r="C110" s="1018"/>
      <c r="D110" s="1018"/>
      <c r="E110" s="1018"/>
      <c r="F110" s="1018"/>
      <c r="G110" s="1018"/>
      <c r="H110" s="1018"/>
      <c r="I110" s="1019"/>
      <c r="J110" s="1019"/>
      <c r="K110" s="1019"/>
    </row>
    <row r="111" spans="1:11" s="367" customFormat="1" ht="25.5" customHeight="1">
      <c r="A111" s="370"/>
      <c r="B111" s="371"/>
      <c r="C111" s="1018"/>
      <c r="D111" s="1018"/>
      <c r="E111" s="1018"/>
      <c r="F111" s="1018"/>
      <c r="G111" s="1018"/>
      <c r="H111" s="1018"/>
      <c r="I111" s="1019"/>
      <c r="J111" s="1019"/>
      <c r="K111" s="1019"/>
    </row>
    <row r="112" spans="1:11" s="367" customFormat="1" ht="25.5" customHeight="1">
      <c r="A112" s="370"/>
      <c r="B112" s="371"/>
      <c r="C112" s="1018"/>
      <c r="D112" s="1018"/>
      <c r="E112" s="1018"/>
      <c r="F112" s="1018"/>
      <c r="G112" s="1018"/>
      <c r="H112" s="1018"/>
      <c r="I112" s="1019"/>
      <c r="J112" s="1019"/>
      <c r="K112" s="1019"/>
    </row>
    <row r="113" spans="1:11" s="367" customFormat="1" ht="25.5" customHeight="1">
      <c r="A113" s="370"/>
      <c r="B113" s="371"/>
      <c r="C113" s="1018"/>
      <c r="D113" s="1018"/>
      <c r="E113" s="1018"/>
      <c r="F113" s="1018"/>
      <c r="G113" s="1018"/>
      <c r="H113" s="1018"/>
      <c r="I113" s="1019"/>
      <c r="J113" s="1019"/>
      <c r="K113" s="1019"/>
    </row>
    <row r="114" spans="1:11" s="367" customFormat="1" ht="25.5" customHeight="1">
      <c r="A114" s="370"/>
      <c r="B114" s="371"/>
      <c r="C114" s="1018"/>
      <c r="D114" s="1018"/>
      <c r="E114" s="1018"/>
      <c r="F114" s="1018"/>
      <c r="G114" s="1018"/>
      <c r="H114" s="1018"/>
      <c r="I114" s="1019"/>
      <c r="J114" s="1019"/>
      <c r="K114" s="1019"/>
    </row>
    <row r="115" spans="1:11" s="367" customFormat="1" ht="25.5" customHeight="1">
      <c r="A115" s="370"/>
      <c r="B115" s="371"/>
      <c r="C115" s="1018"/>
      <c r="D115" s="1018"/>
      <c r="E115" s="1018"/>
      <c r="F115" s="1018"/>
      <c r="G115" s="1018"/>
      <c r="H115" s="1018"/>
      <c r="I115" s="1019"/>
      <c r="J115" s="1019"/>
      <c r="K115" s="1019"/>
    </row>
    <row r="116" spans="1:11" s="367" customFormat="1" ht="25.5" customHeight="1">
      <c r="A116" s="370"/>
      <c r="B116" s="371"/>
      <c r="C116" s="1018"/>
      <c r="D116" s="1018"/>
      <c r="E116" s="1018"/>
      <c r="F116" s="1018"/>
      <c r="G116" s="1018"/>
      <c r="H116" s="1018"/>
      <c r="I116" s="1019"/>
      <c r="J116" s="1019"/>
      <c r="K116" s="1019"/>
    </row>
    <row r="117" spans="1:11" s="367" customFormat="1" ht="25.5" customHeight="1">
      <c r="A117" s="370"/>
      <c r="B117" s="371"/>
      <c r="C117" s="1018"/>
      <c r="D117" s="1018"/>
      <c r="E117" s="1018"/>
      <c r="F117" s="1018"/>
      <c r="G117" s="1018"/>
      <c r="H117" s="1018"/>
      <c r="I117" s="1019"/>
      <c r="J117" s="1019"/>
      <c r="K117" s="1019"/>
    </row>
    <row r="118" spans="1:11" s="367" customFormat="1" ht="25.5" customHeight="1">
      <c r="A118" s="370"/>
      <c r="B118" s="371"/>
      <c r="C118" s="1018"/>
      <c r="D118" s="1018"/>
      <c r="E118" s="1018"/>
      <c r="F118" s="1018"/>
      <c r="G118" s="1018"/>
      <c r="H118" s="1018"/>
      <c r="I118" s="1019"/>
      <c r="J118" s="1019"/>
      <c r="K118" s="1019"/>
    </row>
    <row r="119" spans="1:11" s="367" customFormat="1" ht="25.5" customHeight="1">
      <c r="A119" s="370"/>
      <c r="B119" s="371"/>
      <c r="C119" s="1018"/>
      <c r="D119" s="1018"/>
      <c r="E119" s="1018"/>
      <c r="F119" s="1018"/>
      <c r="G119" s="1018"/>
      <c r="H119" s="1018"/>
      <c r="I119" s="1019"/>
      <c r="J119" s="1019"/>
      <c r="K119" s="1019"/>
    </row>
    <row r="120" spans="1:11" s="367" customFormat="1" ht="25.5" customHeight="1">
      <c r="A120" s="370"/>
      <c r="B120" s="371"/>
      <c r="C120" s="1018"/>
      <c r="D120" s="1018"/>
      <c r="E120" s="1018"/>
      <c r="F120" s="1018"/>
      <c r="G120" s="1018"/>
      <c r="H120" s="1018"/>
      <c r="I120" s="1019"/>
      <c r="J120" s="1019"/>
      <c r="K120" s="1019"/>
    </row>
    <row r="121" spans="1:11" s="367" customFormat="1" ht="25.5" customHeight="1">
      <c r="A121" s="370"/>
      <c r="B121" s="371"/>
      <c r="C121" s="1018"/>
      <c r="D121" s="1018"/>
      <c r="E121" s="1018"/>
      <c r="F121" s="1018"/>
      <c r="G121" s="1018"/>
      <c r="H121" s="1018"/>
      <c r="I121" s="1019"/>
      <c r="J121" s="1019"/>
      <c r="K121" s="1019"/>
    </row>
    <row r="122" spans="1:11" s="367" customFormat="1" ht="25.5" customHeight="1">
      <c r="A122" s="370"/>
      <c r="B122" s="371"/>
      <c r="C122" s="1018"/>
      <c r="D122" s="1018"/>
      <c r="E122" s="1018"/>
      <c r="F122" s="1018"/>
      <c r="G122" s="1018"/>
      <c r="H122" s="1018"/>
      <c r="I122" s="1019"/>
      <c r="J122" s="1019"/>
      <c r="K122" s="1019"/>
    </row>
    <row r="123" spans="1:11" s="367" customFormat="1" ht="25.5" customHeight="1">
      <c r="A123" s="370"/>
      <c r="B123" s="371"/>
      <c r="C123" s="1018"/>
      <c r="D123" s="1018"/>
      <c r="E123" s="1018"/>
      <c r="F123" s="1018"/>
      <c r="G123" s="1018"/>
      <c r="H123" s="1018"/>
      <c r="I123" s="1019"/>
      <c r="J123" s="1019"/>
      <c r="K123" s="1019"/>
    </row>
    <row r="124" spans="1:11" s="367" customFormat="1" ht="25.5" customHeight="1">
      <c r="A124" s="370"/>
      <c r="B124" s="371"/>
      <c r="C124" s="1018"/>
      <c r="D124" s="1018"/>
      <c r="E124" s="1018"/>
      <c r="F124" s="1018"/>
      <c r="G124" s="1018"/>
      <c r="H124" s="1018"/>
      <c r="I124" s="1019"/>
      <c r="J124" s="1019"/>
      <c r="K124" s="1019"/>
    </row>
    <row r="125" spans="1:11" s="367" customFormat="1" ht="25.5" customHeight="1">
      <c r="A125" s="370"/>
      <c r="B125" s="371"/>
      <c r="C125" s="1018"/>
      <c r="D125" s="1018"/>
      <c r="E125" s="1018"/>
      <c r="F125" s="1018"/>
      <c r="G125" s="1018"/>
      <c r="H125" s="1018"/>
      <c r="I125" s="1019"/>
      <c r="J125" s="1019"/>
      <c r="K125" s="1019"/>
    </row>
    <row r="126" spans="1:11" s="367" customFormat="1" ht="25.5" customHeight="1">
      <c r="A126" s="370"/>
      <c r="B126" s="371"/>
      <c r="C126" s="1018"/>
      <c r="D126" s="1018"/>
      <c r="E126" s="1018"/>
      <c r="F126" s="1018"/>
      <c r="G126" s="1018"/>
      <c r="H126" s="1018"/>
      <c r="I126" s="1019"/>
      <c r="J126" s="1019"/>
      <c r="K126" s="1019"/>
    </row>
    <row r="127" spans="1:11" s="367" customFormat="1" ht="25.5" customHeight="1">
      <c r="A127" s="370"/>
      <c r="B127" s="371"/>
      <c r="C127" s="1018"/>
      <c r="D127" s="1018"/>
      <c r="E127" s="1018"/>
      <c r="F127" s="1018"/>
      <c r="G127" s="1018"/>
      <c r="H127" s="1018"/>
      <c r="I127" s="1019"/>
      <c r="J127" s="1019"/>
      <c r="K127" s="1019"/>
    </row>
    <row r="129" spans="3:11" ht="15.75" customHeight="1">
      <c r="G129" s="1676"/>
      <c r="H129" s="1676"/>
      <c r="I129" s="1676"/>
      <c r="J129" s="188"/>
      <c r="K129" s="188"/>
    </row>
    <row r="130" spans="3:11" ht="15.75" customHeight="1">
      <c r="F130" s="1020"/>
      <c r="G130" s="1672"/>
      <c r="H130" s="1672"/>
      <c r="I130" s="1672"/>
      <c r="J130" s="372"/>
      <c r="K130" s="372"/>
    </row>
    <row r="131" spans="3:11" ht="15.75" customHeight="1">
      <c r="F131" s="1021"/>
      <c r="G131" s="1672"/>
      <c r="H131" s="1672"/>
      <c r="I131" s="1672"/>
      <c r="J131" s="372"/>
      <c r="K131" s="372"/>
    </row>
    <row r="132" spans="3:11" ht="15.75" customHeight="1">
      <c r="F132" s="1021"/>
      <c r="G132" s="1676"/>
      <c r="H132" s="1676"/>
      <c r="I132" s="1676"/>
      <c r="J132" s="188"/>
      <c r="K132" s="188"/>
    </row>
    <row r="135" spans="3:11">
      <c r="C135" s="1022"/>
      <c r="F135" s="36"/>
    </row>
    <row r="136" spans="3:11">
      <c r="F136" s="36"/>
    </row>
    <row r="137" spans="3:11">
      <c r="F137" s="36"/>
    </row>
    <row r="138" spans="3:11">
      <c r="F138" s="36"/>
    </row>
    <row r="139" spans="3:11" ht="18.75">
      <c r="G139" s="1678"/>
      <c r="H139" s="1678"/>
      <c r="I139" s="1678"/>
    </row>
  </sheetData>
  <mergeCells count="20">
    <mergeCell ref="G74:K74"/>
    <mergeCell ref="G80:K80"/>
    <mergeCell ref="G139:I139"/>
    <mergeCell ref="F5:F6"/>
    <mergeCell ref="I5:K5"/>
    <mergeCell ref="G5:H5"/>
    <mergeCell ref="G129:I129"/>
    <mergeCell ref="G130:I130"/>
    <mergeCell ref="G131:I131"/>
    <mergeCell ref="G132:I132"/>
    <mergeCell ref="G71:K71"/>
    <mergeCell ref="G72:K72"/>
    <mergeCell ref="G73:K73"/>
    <mergeCell ref="J1:K1"/>
    <mergeCell ref="A2:K2"/>
    <mergeCell ref="A5:A6"/>
    <mergeCell ref="B5:B6"/>
    <mergeCell ref="C5:C6"/>
    <mergeCell ref="D5:E5"/>
    <mergeCell ref="A3:K3"/>
  </mergeCells>
  <phoneticPr fontId="32" type="noConversion"/>
  <pageMargins left="0.55118110236220474" right="0.15748031496062992" top="0.6692913385826772" bottom="0.23622047244094491" header="0.19685039370078741" footer="0.19685039370078741"/>
  <pageSetup paperSize="9" scale="95" firstPageNumber="157" orientation="landscape" useFirstPageNumber="1"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U37"/>
  <sheetViews>
    <sheetView zoomScaleNormal="100" workbookViewId="0">
      <pane xSplit="2" ySplit="7" topLeftCell="C8" activePane="bottomRight" state="frozenSplit"/>
      <selection pane="topRight" activeCell="C1" sqref="C1"/>
      <selection pane="bottomLeft" activeCell="A43" sqref="A43"/>
      <selection pane="bottomRight" activeCell="T17" sqref="T17"/>
    </sheetView>
  </sheetViews>
  <sheetFormatPr defaultColWidth="9.28515625" defaultRowHeight="15"/>
  <cols>
    <col min="1" max="1" width="4.7109375" style="1053" customWidth="1"/>
    <col min="2" max="2" width="24.28515625" style="1053" customWidth="1"/>
    <col min="3" max="3" width="12.7109375" style="1082" customWidth="1"/>
    <col min="4" max="4" width="11" style="1082" customWidth="1"/>
    <col min="5" max="5" width="13" style="1082" customWidth="1"/>
    <col min="6" max="6" width="12.7109375" style="1107" customWidth="1"/>
    <col min="7" max="7" width="12.28515625" style="1107" customWidth="1"/>
    <col min="8" max="8" width="11.85546875" style="1082" customWidth="1"/>
    <col min="9" max="9" width="13" style="1082" customWidth="1"/>
    <col min="10" max="10" width="12" style="1082" customWidth="1"/>
    <col min="11" max="11" width="13" style="1082" customWidth="1"/>
    <col min="12" max="13" width="12.7109375" style="1082" customWidth="1"/>
    <col min="14" max="14" width="13.42578125" style="1106" customWidth="1"/>
    <col min="15" max="15" width="12" style="1082" customWidth="1"/>
    <col min="16" max="16" width="8" style="1099" customWidth="1"/>
    <col min="17" max="17" width="5.7109375" style="1082" customWidth="1"/>
    <col min="18" max="18" width="8" style="1082" customWidth="1"/>
    <col min="19" max="19" width="6.5703125" style="1053" customWidth="1"/>
    <col min="20" max="20" width="13.42578125" style="1053" bestFit="1" customWidth="1"/>
    <col min="21" max="21" width="13" style="1053" customWidth="1"/>
    <col min="22" max="16384" width="9.28515625" style="1053"/>
  </cols>
  <sheetData>
    <row r="1" spans="1:21" s="33" customFormat="1" ht="20.25" customHeight="1">
      <c r="A1" s="34" t="str">
        <f>'48.QTCĐNSĐP'!A1</f>
        <v>UBND xã Trần Phú</v>
      </c>
      <c r="C1" s="36"/>
      <c r="D1" s="36"/>
      <c r="E1" s="36"/>
      <c r="F1" s="373"/>
      <c r="G1" s="1690"/>
      <c r="H1" s="1690"/>
      <c r="I1" s="1360"/>
      <c r="J1" s="1361"/>
      <c r="K1" s="36"/>
      <c r="L1" s="36"/>
      <c r="M1" s="36"/>
      <c r="N1" s="1698"/>
      <c r="O1" s="1698"/>
      <c r="P1" s="1362"/>
      <c r="Q1" s="1363" t="s">
        <v>1179</v>
      </c>
      <c r="R1" s="1363"/>
    </row>
    <row r="2" spans="1:21" s="33" customFormat="1" ht="25.5" customHeight="1">
      <c r="A2" s="1672" t="s">
        <v>1178</v>
      </c>
      <c r="B2" s="1672"/>
      <c r="C2" s="1672"/>
      <c r="D2" s="1672"/>
      <c r="E2" s="1672"/>
      <c r="F2" s="1672"/>
      <c r="G2" s="1672"/>
      <c r="H2" s="1672"/>
      <c r="I2" s="1672"/>
      <c r="J2" s="1672"/>
      <c r="K2" s="1672"/>
      <c r="L2" s="1672"/>
      <c r="M2" s="1672"/>
      <c r="N2" s="1672"/>
      <c r="O2" s="1672"/>
      <c r="P2" s="1672"/>
      <c r="Q2" s="1672"/>
      <c r="R2" s="1672"/>
    </row>
    <row r="3" spans="1:21" s="33" customFormat="1" ht="24" customHeight="1">
      <c r="A3" s="1676" t="str">
        <f>'48.QTCĐNSĐP'!A3:F3</f>
        <v>(Kèm theo Quyết định số      /QĐ-UBND ngày 15/04/2026 nhân dân xã Trần Phú)</v>
      </c>
      <c r="B3" s="1676"/>
      <c r="C3" s="1676"/>
      <c r="D3" s="1676"/>
      <c r="E3" s="1676"/>
      <c r="F3" s="1676"/>
      <c r="G3" s="1676"/>
      <c r="H3" s="1676"/>
      <c r="I3" s="1676"/>
      <c r="J3" s="1676"/>
      <c r="K3" s="1676"/>
      <c r="L3" s="1676"/>
      <c r="M3" s="1676"/>
      <c r="N3" s="1676"/>
      <c r="O3" s="1676"/>
      <c r="P3" s="1676"/>
      <c r="Q3" s="1676"/>
      <c r="R3" s="1676"/>
      <c r="S3" s="1676"/>
    </row>
    <row r="4" spans="1:21" s="33" customFormat="1" ht="15.75">
      <c r="B4" s="51"/>
      <c r="C4" s="1364"/>
      <c r="D4" s="1361"/>
      <c r="E4" s="52"/>
      <c r="F4" s="373"/>
      <c r="G4" s="1365"/>
      <c r="H4" s="1366"/>
      <c r="I4" s="52"/>
      <c r="J4" s="1366"/>
      <c r="K4" s="1366"/>
      <c r="L4" s="1367"/>
      <c r="M4" s="1368"/>
      <c r="N4" s="1368"/>
      <c r="O4" s="1369"/>
      <c r="P4" s="1691" t="s">
        <v>312</v>
      </c>
      <c r="Q4" s="1691"/>
      <c r="R4" s="1691"/>
      <c r="S4" s="1691"/>
    </row>
    <row r="5" spans="1:21" s="1052" customFormat="1" ht="23.25" customHeight="1">
      <c r="A5" s="1699" t="s">
        <v>313</v>
      </c>
      <c r="B5" s="1699" t="s">
        <v>253</v>
      </c>
      <c r="C5" s="1700" t="s">
        <v>315</v>
      </c>
      <c r="D5" s="1700"/>
      <c r="E5" s="1700"/>
      <c r="F5" s="1700"/>
      <c r="G5" s="1700"/>
      <c r="H5" s="1700"/>
      <c r="I5" s="1700" t="s">
        <v>146</v>
      </c>
      <c r="J5" s="1700"/>
      <c r="K5" s="1700"/>
      <c r="L5" s="1700"/>
      <c r="M5" s="1700"/>
      <c r="N5" s="1700"/>
      <c r="O5" s="1700"/>
      <c r="P5" s="1700" t="s">
        <v>167</v>
      </c>
      <c r="Q5" s="1700"/>
      <c r="R5" s="1700"/>
      <c r="S5" s="1700"/>
    </row>
    <row r="6" spans="1:21" s="1052" customFormat="1" ht="23.25" customHeight="1">
      <c r="A6" s="1699"/>
      <c r="B6" s="1699"/>
      <c r="C6" s="1697" t="s">
        <v>152</v>
      </c>
      <c r="D6" s="1701" t="s">
        <v>34</v>
      </c>
      <c r="E6" s="1692" t="s">
        <v>471</v>
      </c>
      <c r="F6" s="1694" t="s">
        <v>287</v>
      </c>
      <c r="G6" s="1695"/>
      <c r="H6" s="1696"/>
      <c r="I6" s="1697" t="s">
        <v>152</v>
      </c>
      <c r="J6" s="1697" t="s">
        <v>34</v>
      </c>
      <c r="K6" s="1697" t="s">
        <v>35</v>
      </c>
      <c r="L6" s="1697" t="s">
        <v>287</v>
      </c>
      <c r="M6" s="1697"/>
      <c r="N6" s="1697"/>
      <c r="O6" s="1697" t="s">
        <v>288</v>
      </c>
      <c r="P6" s="1703" t="s">
        <v>152</v>
      </c>
      <c r="Q6" s="1697" t="s">
        <v>77</v>
      </c>
      <c r="R6" s="1702" t="s">
        <v>134</v>
      </c>
      <c r="S6" s="1702" t="s">
        <v>287</v>
      </c>
    </row>
    <row r="7" spans="1:21" s="1052" customFormat="1" ht="51.75" customHeight="1">
      <c r="A7" s="1699"/>
      <c r="B7" s="1699"/>
      <c r="C7" s="1697"/>
      <c r="D7" s="1701"/>
      <c r="E7" s="1693"/>
      <c r="F7" s="1108" t="s">
        <v>152</v>
      </c>
      <c r="G7" s="1108" t="s">
        <v>77</v>
      </c>
      <c r="H7" s="1097" t="s">
        <v>471</v>
      </c>
      <c r="I7" s="1697"/>
      <c r="J7" s="1697"/>
      <c r="K7" s="1697"/>
      <c r="L7" s="1097" t="s">
        <v>152</v>
      </c>
      <c r="M7" s="1097" t="s">
        <v>77</v>
      </c>
      <c r="N7" s="1100" t="s">
        <v>471</v>
      </c>
      <c r="O7" s="1697"/>
      <c r="P7" s="1703"/>
      <c r="Q7" s="1697"/>
      <c r="R7" s="1702"/>
      <c r="S7" s="1702"/>
    </row>
    <row r="8" spans="1:21" s="1134" customFormat="1" ht="12.75" customHeight="1">
      <c r="A8" s="1132" t="s">
        <v>316</v>
      </c>
      <c r="B8" s="1132" t="s">
        <v>317</v>
      </c>
      <c r="C8" s="1133">
        <v>1</v>
      </c>
      <c r="D8" s="1133">
        <v>2</v>
      </c>
      <c r="E8" s="1133">
        <v>3</v>
      </c>
      <c r="F8" s="1133">
        <v>4</v>
      </c>
      <c r="G8" s="1133">
        <v>5</v>
      </c>
      <c r="H8" s="1133">
        <v>6</v>
      </c>
      <c r="I8" s="1133">
        <v>7</v>
      </c>
      <c r="J8" s="1133">
        <v>8</v>
      </c>
      <c r="K8" s="1133">
        <v>9</v>
      </c>
      <c r="L8" s="1133">
        <v>10</v>
      </c>
      <c r="M8" s="1133">
        <v>11</v>
      </c>
      <c r="N8" s="1133">
        <v>12</v>
      </c>
      <c r="O8" s="1133">
        <v>13</v>
      </c>
      <c r="P8" s="1133">
        <v>14</v>
      </c>
      <c r="Q8" s="1133">
        <v>15</v>
      </c>
      <c r="R8" s="1133">
        <v>16</v>
      </c>
      <c r="S8" s="1133">
        <v>17</v>
      </c>
    </row>
    <row r="9" spans="1:21" s="1109" customFormat="1" ht="21.75" customHeight="1">
      <c r="A9" s="1532"/>
      <c r="B9" s="1533" t="s">
        <v>472</v>
      </c>
      <c r="C9" s="1534">
        <f>C10+C28+C29+C30+C31+C32+C33</f>
        <v>133840.26135699998</v>
      </c>
      <c r="D9" s="1534">
        <f t="shared" ref="D9:O9" si="0">D10+D28+D29+D30+D31+D32+D33</f>
        <v>2884.5206750000002</v>
      </c>
      <c r="E9" s="1534">
        <f t="shared" si="0"/>
        <v>99838.611926999976</v>
      </c>
      <c r="F9" s="1534">
        <f t="shared" si="0"/>
        <v>31117.128754999998</v>
      </c>
      <c r="G9" s="1534">
        <f t="shared" si="0"/>
        <v>19283.097439000001</v>
      </c>
      <c r="H9" s="1534">
        <f t="shared" si="0"/>
        <v>11834.031316000001</v>
      </c>
      <c r="I9" s="1534">
        <f t="shared" si="0"/>
        <v>138250.39191299997</v>
      </c>
      <c r="J9" s="1534">
        <f t="shared" si="0"/>
        <v>2729.8000470000002</v>
      </c>
      <c r="K9" s="1534">
        <f t="shared" si="0"/>
        <v>94729.634744999988</v>
      </c>
      <c r="L9" s="1534">
        <f t="shared" si="0"/>
        <v>29126.469159999997</v>
      </c>
      <c r="M9" s="1534">
        <f t="shared" si="0"/>
        <v>18257.162093999999</v>
      </c>
      <c r="N9" s="1534">
        <f t="shared" si="0"/>
        <v>10869.307065999999</v>
      </c>
      <c r="O9" s="1534">
        <f t="shared" si="0"/>
        <v>11664.487961000001</v>
      </c>
      <c r="P9" s="1535">
        <f t="shared" ref="P9:S10" si="1">I9/C9*100</f>
        <v>103.2950701913504</v>
      </c>
      <c r="Q9" s="1535">
        <f t="shared" si="1"/>
        <v>94.636175454003293</v>
      </c>
      <c r="R9" s="1535">
        <f t="shared" si="1"/>
        <v>94.882764209767288</v>
      </c>
      <c r="S9" s="1536">
        <f t="shared" si="1"/>
        <v>93.602688697040733</v>
      </c>
      <c r="T9" s="1093"/>
    </row>
    <row r="10" spans="1:21" s="1094" customFormat="1" ht="27" customHeight="1">
      <c r="A10" s="1537" t="s">
        <v>318</v>
      </c>
      <c r="B10" s="1538" t="s">
        <v>1180</v>
      </c>
      <c r="C10" s="1534">
        <f>SUM(C11:C27)</f>
        <v>133840.26135699998</v>
      </c>
      <c r="D10" s="1534">
        <f t="shared" ref="D10:O10" si="2">SUM(D11:D27)</f>
        <v>2884.5206750000002</v>
      </c>
      <c r="E10" s="1534">
        <f t="shared" si="2"/>
        <v>99838.611926999976</v>
      </c>
      <c r="F10" s="1534">
        <f t="shared" si="2"/>
        <v>31117.128754999998</v>
      </c>
      <c r="G10" s="1534">
        <f t="shared" si="2"/>
        <v>19283.097439000001</v>
      </c>
      <c r="H10" s="1534">
        <f t="shared" si="2"/>
        <v>11834.031316000001</v>
      </c>
      <c r="I10" s="1534">
        <f t="shared" si="2"/>
        <v>125809.42602199999</v>
      </c>
      <c r="J10" s="1534">
        <f t="shared" si="2"/>
        <v>2729.8000470000002</v>
      </c>
      <c r="K10" s="1534">
        <f t="shared" si="2"/>
        <v>93953.156814999995</v>
      </c>
      <c r="L10" s="1534">
        <f t="shared" si="2"/>
        <v>29126.469159999997</v>
      </c>
      <c r="M10" s="1534">
        <f t="shared" si="2"/>
        <v>18257.162093999999</v>
      </c>
      <c r="N10" s="1534">
        <f t="shared" si="2"/>
        <v>10869.307065999999</v>
      </c>
      <c r="O10" s="1534">
        <f t="shared" si="2"/>
        <v>0</v>
      </c>
      <c r="P10" s="1535">
        <f t="shared" si="1"/>
        <v>93.999686451912339</v>
      </c>
      <c r="Q10" s="1535">
        <f t="shared" si="1"/>
        <v>94.636175454003293</v>
      </c>
      <c r="R10" s="1535">
        <f t="shared" si="1"/>
        <v>94.105031111306602</v>
      </c>
      <c r="S10" s="1536">
        <f t="shared" si="1"/>
        <v>93.602688697040733</v>
      </c>
      <c r="T10" s="1093"/>
    </row>
    <row r="11" spans="1:21" s="1052" customFormat="1" ht="32.25" customHeight="1">
      <c r="A11" s="1530">
        <v>1</v>
      </c>
      <c r="B11" s="1531" t="str">
        <f>+'56'!B10</f>
        <v>Văn phòng HĐND và UBND xã</v>
      </c>
      <c r="C11" s="1539">
        <f>SUM(D11:F11)</f>
        <v>26649.445084999999</v>
      </c>
      <c r="D11" s="1539"/>
      <c r="E11" s="1539">
        <v>26555.745084999999</v>
      </c>
      <c r="F11" s="1539">
        <f t="shared" ref="F11" si="3">SUM(G11:H11)</f>
        <v>93.7</v>
      </c>
      <c r="G11" s="1539"/>
      <c r="H11" s="1539">
        <f>'61'!E12</f>
        <v>93.7</v>
      </c>
      <c r="I11" s="1539">
        <f>J11+K11+L11+O11</f>
        <v>24410.014924999999</v>
      </c>
      <c r="J11" s="1539"/>
      <c r="K11" s="1539">
        <f>'56'!D10-N11</f>
        <v>24324.955005</v>
      </c>
      <c r="L11" s="1539">
        <f t="shared" ref="L11:L16" si="4">SUM(M11:N11)</f>
        <v>85.059920000000005</v>
      </c>
      <c r="M11" s="1539"/>
      <c r="N11" s="1539">
        <f>'61'!Q12</f>
        <v>85.059920000000005</v>
      </c>
      <c r="O11" s="1540"/>
      <c r="P11" s="1535">
        <f t="shared" ref="P11:P27" si="5">I11/C11*100</f>
        <v>91.596709977047539</v>
      </c>
      <c r="Q11" s="1535"/>
      <c r="R11" s="1535">
        <f t="shared" ref="R11:R27" si="6">K11/E11*100</f>
        <v>91.599595218060514</v>
      </c>
      <c r="S11" s="1541">
        <f>L11/F11*100</f>
        <v>90.778996798292425</v>
      </c>
      <c r="T11" s="1092"/>
      <c r="U11" s="1093"/>
    </row>
    <row r="12" spans="1:21" s="1052" customFormat="1" ht="24.75" customHeight="1">
      <c r="A12" s="1530">
        <v>2</v>
      </c>
      <c r="B12" s="1531" t="str">
        <f>+'56'!B11</f>
        <v>Phòng Kinh tế</v>
      </c>
      <c r="C12" s="1539">
        <f t="shared" ref="C12:C27" si="7">SUM(D12:F12)</f>
        <v>42615.748137999995</v>
      </c>
      <c r="D12" s="1539">
        <f>'51'!C10</f>
        <v>2884.5206750000002</v>
      </c>
      <c r="E12" s="1539">
        <f>'56'!C11-H12</f>
        <v>9891.4493079999993</v>
      </c>
      <c r="F12" s="1539">
        <f>SUM(G12:H12)</f>
        <v>29839.778155</v>
      </c>
      <c r="G12" s="1539">
        <f>'61'!D13</f>
        <v>19283.097439000001</v>
      </c>
      <c r="H12" s="1539">
        <f>'61'!E13</f>
        <v>10556.680715999999</v>
      </c>
      <c r="I12" s="1539">
        <f t="shared" ref="I12:I33" si="8">J12+K12+L12+O12</f>
        <v>38631.429340999995</v>
      </c>
      <c r="J12" s="1539">
        <f>'51'!D10</f>
        <v>2729.8000470000002</v>
      </c>
      <c r="K12" s="1539">
        <f>'56'!D11-N12</f>
        <v>7964.6674939999994</v>
      </c>
      <c r="L12" s="1539">
        <f t="shared" si="4"/>
        <v>27936.961799999997</v>
      </c>
      <c r="M12" s="1539">
        <f>'61'!P13</f>
        <v>18257.162093999999</v>
      </c>
      <c r="N12" s="1539">
        <f>'61'!Q13</f>
        <v>9679.7997059999998</v>
      </c>
      <c r="O12" s="1540"/>
      <c r="P12" s="1535">
        <f t="shared" si="5"/>
        <v>90.650595211662548</v>
      </c>
      <c r="Q12" s="1535"/>
      <c r="R12" s="1535">
        <f t="shared" si="6"/>
        <v>80.520733069504189</v>
      </c>
      <c r="S12" s="1536">
        <f>L12/F12*100</f>
        <v>93.623222179749462</v>
      </c>
      <c r="T12" s="1092"/>
      <c r="U12" s="1093"/>
    </row>
    <row r="13" spans="1:21" s="1052" customFormat="1" ht="24.75" customHeight="1">
      <c r="A13" s="1530">
        <v>3</v>
      </c>
      <c r="B13" s="1531" t="str">
        <f>+'56'!B12</f>
        <v>Phòng Văn hóa - XH</v>
      </c>
      <c r="C13" s="1539">
        <f t="shared" si="7"/>
        <v>7087.7162040000003</v>
      </c>
      <c r="D13" s="1539"/>
      <c r="E13" s="1539">
        <f>'56'!C12-H13</f>
        <v>6171.0756040000006</v>
      </c>
      <c r="F13" s="1539">
        <f t="shared" ref="F13:F16" si="9">SUM(G13:H13)</f>
        <v>916.64059999999995</v>
      </c>
      <c r="G13" s="1539"/>
      <c r="H13" s="1539">
        <f>'61'!E14</f>
        <v>916.64059999999995</v>
      </c>
      <c r="I13" s="1539">
        <f t="shared" si="8"/>
        <v>6329.3076110000002</v>
      </c>
      <c r="J13" s="1539"/>
      <c r="K13" s="1539">
        <f>'56'!D12-N13</f>
        <v>5491.8701710000005</v>
      </c>
      <c r="L13" s="1539">
        <f t="shared" si="4"/>
        <v>837.43743999999992</v>
      </c>
      <c r="M13" s="1539"/>
      <c r="N13" s="1539">
        <f>'61'!Q14</f>
        <v>837.43743999999992</v>
      </c>
      <c r="O13" s="1540"/>
      <c r="P13" s="1535">
        <f t="shared" si="5"/>
        <v>89.299676070946703</v>
      </c>
      <c r="Q13" s="1535"/>
      <c r="R13" s="1535">
        <f t="shared" si="6"/>
        <v>88.993726919181654</v>
      </c>
      <c r="S13" s="1536">
        <f>L13/F13*100</f>
        <v>91.359409565755641</v>
      </c>
      <c r="T13" s="1092"/>
      <c r="U13" s="1093"/>
    </row>
    <row r="14" spans="1:21" s="1052" customFormat="1" ht="33.75" customHeight="1">
      <c r="A14" s="1530">
        <v>4</v>
      </c>
      <c r="B14" s="1531" t="str">
        <f>+'56'!B13</f>
        <v>Trung tâm phục vụ Hành chính công</v>
      </c>
      <c r="C14" s="1539">
        <f>SUM(D14:F14)</f>
        <v>2328.9117970000002</v>
      </c>
      <c r="D14" s="1539"/>
      <c r="E14" s="1539">
        <f>'56'!C13</f>
        <v>2328.9117970000002</v>
      </c>
      <c r="F14" s="1539"/>
      <c r="G14" s="1539"/>
      <c r="H14" s="1539"/>
      <c r="I14" s="1539">
        <f t="shared" si="8"/>
        <v>2255.4173850000002</v>
      </c>
      <c r="J14" s="1539"/>
      <c r="K14" s="1539">
        <f>'56'!D13</f>
        <v>2255.4173850000002</v>
      </c>
      <c r="L14" s="1539"/>
      <c r="M14" s="1539"/>
      <c r="N14" s="1539"/>
      <c r="O14" s="1540"/>
      <c r="P14" s="1535">
        <f>I14/C14*100</f>
        <v>96.844259533801477</v>
      </c>
      <c r="Q14" s="1535"/>
      <c r="R14" s="1535">
        <f>K14/E14*100</f>
        <v>96.844259533801477</v>
      </c>
      <c r="S14" s="1536"/>
      <c r="T14" s="1092"/>
      <c r="U14" s="1093"/>
    </row>
    <row r="15" spans="1:21" s="1052" customFormat="1" ht="32.25" customHeight="1">
      <c r="A15" s="1530">
        <v>5</v>
      </c>
      <c r="B15" s="1531" t="str">
        <f>+'56'!B14</f>
        <v>Văn phòng Đảng ủy</v>
      </c>
      <c r="C15" s="1539">
        <f t="shared" si="7"/>
        <v>6698.3011130000004</v>
      </c>
      <c r="D15" s="1539"/>
      <c r="E15" s="1539">
        <f>'56'!C14</f>
        <v>6698.3011130000004</v>
      </c>
      <c r="F15" s="1539"/>
      <c r="G15" s="1539"/>
      <c r="H15" s="1539"/>
      <c r="I15" s="1539">
        <f t="shared" si="8"/>
        <v>6308.4526130000004</v>
      </c>
      <c r="J15" s="1539"/>
      <c r="K15" s="1539">
        <f>'56'!D14</f>
        <v>6308.4526130000004</v>
      </c>
      <c r="L15" s="1539"/>
      <c r="M15" s="1539"/>
      <c r="N15" s="1539"/>
      <c r="O15" s="1540"/>
      <c r="P15" s="1535">
        <f t="shared" si="5"/>
        <v>94.179889894119782</v>
      </c>
      <c r="Q15" s="1535"/>
      <c r="R15" s="1535">
        <f t="shared" si="6"/>
        <v>94.179889894119782</v>
      </c>
      <c r="S15" s="1536"/>
      <c r="T15" s="1092"/>
      <c r="U15" s="1093"/>
    </row>
    <row r="16" spans="1:21" s="1052" customFormat="1" ht="27" customHeight="1">
      <c r="A16" s="1530">
        <v>6</v>
      </c>
      <c r="B16" s="1531" t="str">
        <f>+'56'!B15</f>
        <v>Ủy ban Mặt trận Tổ quốc VN xã</v>
      </c>
      <c r="C16" s="1539">
        <f t="shared" si="7"/>
        <v>3117.4069150000005</v>
      </c>
      <c r="D16" s="1539"/>
      <c r="E16" s="1539">
        <f>'56'!C15-H16</f>
        <v>2850.3969150000003</v>
      </c>
      <c r="F16" s="1539">
        <f t="shared" si="9"/>
        <v>267.01</v>
      </c>
      <c r="G16" s="1539"/>
      <c r="H16" s="1539">
        <f>'61'!E15</f>
        <v>267.01</v>
      </c>
      <c r="I16" s="1539">
        <f t="shared" si="8"/>
        <v>3097.4069150000005</v>
      </c>
      <c r="J16" s="1539"/>
      <c r="K16" s="1539">
        <f>'56'!D15-N16</f>
        <v>2830.3969150000003</v>
      </c>
      <c r="L16" s="1539">
        <f t="shared" si="4"/>
        <v>267.01</v>
      </c>
      <c r="M16" s="1539"/>
      <c r="N16" s="1539">
        <f>'61'!Q15</f>
        <v>267.01</v>
      </c>
      <c r="O16" s="1540"/>
      <c r="P16" s="1535">
        <f t="shared" si="5"/>
        <v>99.358441148514615</v>
      </c>
      <c r="Q16" s="1535"/>
      <c r="R16" s="1535">
        <f t="shared" si="6"/>
        <v>99.298343332651271</v>
      </c>
      <c r="S16" s="1536">
        <f>L16/F16*100</f>
        <v>100</v>
      </c>
      <c r="T16" s="1092"/>
      <c r="U16" s="1093"/>
    </row>
    <row r="17" spans="1:21" s="1052" customFormat="1" ht="24.75" customHeight="1">
      <c r="A17" s="1530">
        <v>7</v>
      </c>
      <c r="B17" s="1531" t="str">
        <f>+'56'!B16</f>
        <v>Trường Mầm non Cư Lễ</v>
      </c>
      <c r="C17" s="1539">
        <f t="shared" si="7"/>
        <v>4869.7452929999999</v>
      </c>
      <c r="D17" s="1539"/>
      <c r="E17" s="1539">
        <f>'56'!C16</f>
        <v>4869.7452929999999</v>
      </c>
      <c r="F17" s="1539"/>
      <c r="G17" s="1539"/>
      <c r="H17" s="1539"/>
      <c r="I17" s="1539">
        <f t="shared" si="8"/>
        <v>4820.7740309999999</v>
      </c>
      <c r="J17" s="1539"/>
      <c r="K17" s="1539">
        <f>'56'!D16</f>
        <v>4820.7740309999999</v>
      </c>
      <c r="L17" s="1539"/>
      <c r="M17" s="1539"/>
      <c r="N17" s="1539"/>
      <c r="O17" s="1540"/>
      <c r="P17" s="1535">
        <f t="shared" si="5"/>
        <v>98.994377343094442</v>
      </c>
      <c r="Q17" s="1535"/>
      <c r="R17" s="1535">
        <f t="shared" si="6"/>
        <v>98.994377343094442</v>
      </c>
      <c r="S17" s="1536"/>
      <c r="T17" s="1092"/>
      <c r="U17" s="1093"/>
    </row>
    <row r="18" spans="1:21" s="1052" customFormat="1" ht="24.75" customHeight="1">
      <c r="A18" s="1530">
        <v>8</v>
      </c>
      <c r="B18" s="1531" t="str">
        <f>+'56'!B17</f>
        <v>Trường TH&amp;THCS Cư Lễ</v>
      </c>
      <c r="C18" s="1539">
        <f t="shared" si="7"/>
        <v>10921.247584999999</v>
      </c>
      <c r="D18" s="1539"/>
      <c r="E18" s="1539">
        <f>'56'!C17</f>
        <v>10921.247584999999</v>
      </c>
      <c r="F18" s="1539"/>
      <c r="G18" s="1539"/>
      <c r="H18" s="1539"/>
      <c r="I18" s="1539">
        <f t="shared" si="8"/>
        <v>10721.105974</v>
      </c>
      <c r="J18" s="1539"/>
      <c r="K18" s="1539">
        <f>'56'!D17</f>
        <v>10721.105974</v>
      </c>
      <c r="L18" s="1539"/>
      <c r="M18" s="1539"/>
      <c r="N18" s="1539"/>
      <c r="O18" s="1540"/>
      <c r="P18" s="1535">
        <f t="shared" si="5"/>
        <v>98.167410733597066</v>
      </c>
      <c r="Q18" s="1535"/>
      <c r="R18" s="1535">
        <f t="shared" si="6"/>
        <v>98.167410733597066</v>
      </c>
      <c r="S18" s="1536"/>
      <c r="T18" s="1092"/>
      <c r="U18" s="1093"/>
    </row>
    <row r="19" spans="1:21" s="1052" customFormat="1" ht="24.75" customHeight="1">
      <c r="A19" s="1530">
        <v>9</v>
      </c>
      <c r="B19" s="1531" t="str">
        <f>+'56'!B18</f>
        <v>Trường Mầm non Văn Minh</v>
      </c>
      <c r="C19" s="1539">
        <f t="shared" si="7"/>
        <v>3125.5982220000001</v>
      </c>
      <c r="D19" s="1539"/>
      <c r="E19" s="1539">
        <f>'56'!C18</f>
        <v>3125.5982220000001</v>
      </c>
      <c r="F19" s="1539"/>
      <c r="G19" s="1539"/>
      <c r="H19" s="1539"/>
      <c r="I19" s="1539">
        <f t="shared" si="8"/>
        <v>3093.448222</v>
      </c>
      <c r="J19" s="1539"/>
      <c r="K19" s="1539">
        <f>'56'!D18</f>
        <v>3093.448222</v>
      </c>
      <c r="L19" s="1539"/>
      <c r="M19" s="1539"/>
      <c r="N19" s="1539"/>
      <c r="O19" s="1540"/>
      <c r="P19" s="1535">
        <f t="shared" si="5"/>
        <v>98.971396906559917</v>
      </c>
      <c r="Q19" s="1535"/>
      <c r="R19" s="1535">
        <f t="shared" si="6"/>
        <v>98.971396906559917</v>
      </c>
      <c r="S19" s="1536"/>
      <c r="T19" s="1092"/>
      <c r="U19" s="1093"/>
    </row>
    <row r="20" spans="1:21" s="1052" customFormat="1" ht="24.75" customHeight="1">
      <c r="A20" s="1530">
        <v>10</v>
      </c>
      <c r="B20" s="1531" t="str">
        <f>+'56'!B19</f>
        <v>Trường TH&amp;THCS Văn Minh</v>
      </c>
      <c r="C20" s="1539">
        <f t="shared" si="7"/>
        <v>7030.365307</v>
      </c>
      <c r="D20" s="1539"/>
      <c r="E20" s="1539">
        <f>'56'!C19</f>
        <v>7030.365307</v>
      </c>
      <c r="F20" s="1539"/>
      <c r="G20" s="1539"/>
      <c r="H20" s="1539"/>
      <c r="I20" s="1539">
        <f t="shared" si="8"/>
        <v>7011.8913069999999</v>
      </c>
      <c r="J20" s="1539"/>
      <c r="K20" s="1539">
        <f>'56'!D19</f>
        <v>7011.8913069999999</v>
      </c>
      <c r="L20" s="1539"/>
      <c r="M20" s="1539"/>
      <c r="N20" s="1539"/>
      <c r="O20" s="1540"/>
      <c r="P20" s="1535">
        <f t="shared" si="5"/>
        <v>99.737225603602624</v>
      </c>
      <c r="Q20" s="1535"/>
      <c r="R20" s="1535">
        <f t="shared" si="6"/>
        <v>99.737225603602624</v>
      </c>
      <c r="S20" s="1536"/>
      <c r="T20" s="1092"/>
      <c r="U20" s="1093"/>
    </row>
    <row r="21" spans="1:21" s="1052" customFormat="1" ht="24.75" customHeight="1">
      <c r="A21" s="1530">
        <v>11</v>
      </c>
      <c r="B21" s="1531" t="str">
        <f>+'56'!B20</f>
        <v>Trường Mầm non Trần Phú</v>
      </c>
      <c r="C21" s="1539">
        <f t="shared" si="7"/>
        <v>6287.6122679999999</v>
      </c>
      <c r="D21" s="1539"/>
      <c r="E21" s="1539">
        <f>'56'!C20</f>
        <v>6287.6122679999999</v>
      </c>
      <c r="F21" s="1539"/>
      <c r="G21" s="1539"/>
      <c r="H21" s="1539"/>
      <c r="I21" s="1539">
        <f t="shared" si="8"/>
        <v>6195.2102679999998</v>
      </c>
      <c r="J21" s="1539"/>
      <c r="K21" s="1539">
        <f>'56'!D20</f>
        <v>6195.2102679999998</v>
      </c>
      <c r="L21" s="1539"/>
      <c r="M21" s="1539"/>
      <c r="N21" s="1539"/>
      <c r="O21" s="1540"/>
      <c r="P21" s="1535">
        <f t="shared" si="5"/>
        <v>98.530411926475352</v>
      </c>
      <c r="Q21" s="1535"/>
      <c r="R21" s="1535">
        <f t="shared" si="6"/>
        <v>98.530411926475352</v>
      </c>
      <c r="S21" s="1536"/>
      <c r="T21" s="1092"/>
      <c r="U21" s="1093"/>
    </row>
    <row r="22" spans="1:21" s="1052" customFormat="1" ht="24.75" customHeight="1">
      <c r="A22" s="1530">
        <v>12</v>
      </c>
      <c r="B22" s="1531" t="str">
        <f>+'56'!B21</f>
        <v>Trường Tiểu học Trần Phú</v>
      </c>
      <c r="C22" s="1539">
        <f t="shared" si="7"/>
        <v>7399.2867900000001</v>
      </c>
      <c r="D22" s="1539"/>
      <c r="E22" s="1539">
        <f>'56'!C21</f>
        <v>7399.2867900000001</v>
      </c>
      <c r="F22" s="1539"/>
      <c r="G22" s="1539"/>
      <c r="H22" s="1539"/>
      <c r="I22" s="1539">
        <f t="shared" si="8"/>
        <v>7349.9307900000003</v>
      </c>
      <c r="J22" s="1539"/>
      <c r="K22" s="1539">
        <f>'56'!D21</f>
        <v>7349.9307900000003</v>
      </c>
      <c r="L22" s="1539"/>
      <c r="M22" s="1539"/>
      <c r="N22" s="1539"/>
      <c r="O22" s="1540"/>
      <c r="P22" s="1535">
        <f t="shared" si="5"/>
        <v>99.332962738156013</v>
      </c>
      <c r="Q22" s="1535"/>
      <c r="R22" s="1535">
        <f t="shared" si="6"/>
        <v>99.332962738156013</v>
      </c>
      <c r="S22" s="1536"/>
      <c r="T22" s="1092"/>
      <c r="U22" s="1093"/>
    </row>
    <row r="23" spans="1:21" s="1052" customFormat="1" ht="24.75" customHeight="1">
      <c r="A23" s="1542">
        <v>13</v>
      </c>
      <c r="B23" s="1615" t="s">
        <v>1349</v>
      </c>
      <c r="C23" s="1616">
        <f t="shared" si="7"/>
        <v>5201.8786399999999</v>
      </c>
      <c r="D23" s="1616"/>
      <c r="E23" s="1616">
        <f>'56'!C22</f>
        <v>5201.8786399999999</v>
      </c>
      <c r="F23" s="1616"/>
      <c r="G23" s="1616"/>
      <c r="H23" s="1616"/>
      <c r="I23" s="1616">
        <f t="shared" si="8"/>
        <v>5122.7326400000002</v>
      </c>
      <c r="J23" s="1616"/>
      <c r="K23" s="1616">
        <f>'56'!D22</f>
        <v>5122.7326400000002</v>
      </c>
      <c r="L23" s="1616"/>
      <c r="M23" s="1616"/>
      <c r="N23" s="1616"/>
      <c r="O23" s="1616"/>
      <c r="P23" s="1617"/>
      <c r="Q23" s="1617"/>
      <c r="R23" s="1617"/>
      <c r="S23" s="1618"/>
      <c r="T23" s="1619"/>
      <c r="U23" s="1620"/>
    </row>
    <row r="24" spans="1:21" s="1052" customFormat="1" ht="26.25" customHeight="1">
      <c r="A24" s="1542">
        <v>14</v>
      </c>
      <c r="B24" s="1615" t="s">
        <v>1209</v>
      </c>
      <c r="C24" s="1616">
        <f t="shared" si="7"/>
        <v>48.438000000000002</v>
      </c>
      <c r="D24" s="1616"/>
      <c r="E24" s="1616">
        <f>'56'!C23</f>
        <v>48.438000000000002</v>
      </c>
      <c r="F24" s="1616"/>
      <c r="G24" s="1616"/>
      <c r="H24" s="1616"/>
      <c r="I24" s="1616">
        <f t="shared" si="8"/>
        <v>3.7440000000000002</v>
      </c>
      <c r="J24" s="1616"/>
      <c r="K24" s="1616">
        <f>'56'!D23</f>
        <v>3.7440000000000002</v>
      </c>
      <c r="L24" s="1616"/>
      <c r="M24" s="1616"/>
      <c r="N24" s="1616"/>
      <c r="O24" s="1616"/>
      <c r="P24" s="1617"/>
      <c r="Q24" s="1617"/>
      <c r="R24" s="1617"/>
      <c r="S24" s="1618"/>
      <c r="T24" s="1619"/>
      <c r="U24" s="1620"/>
    </row>
    <row r="25" spans="1:21" s="1052" customFormat="1" ht="24.75" customHeight="1">
      <c r="A25" s="1542">
        <v>15</v>
      </c>
      <c r="B25" s="1615" t="s">
        <v>1190</v>
      </c>
      <c r="C25" s="1616">
        <f t="shared" si="7"/>
        <v>28.56</v>
      </c>
      <c r="D25" s="1616"/>
      <c r="E25" s="1616">
        <f>'56'!C24</f>
        <v>28.56</v>
      </c>
      <c r="F25" s="1616"/>
      <c r="G25" s="1616"/>
      <c r="H25" s="1616"/>
      <c r="I25" s="1616">
        <f t="shared" si="8"/>
        <v>28.56</v>
      </c>
      <c r="J25" s="1616"/>
      <c r="K25" s="1616">
        <f>'56'!D24</f>
        <v>28.56</v>
      </c>
      <c r="L25" s="1616"/>
      <c r="M25" s="1616"/>
      <c r="N25" s="1616"/>
      <c r="O25" s="1616"/>
      <c r="P25" s="1617">
        <f t="shared" si="5"/>
        <v>100</v>
      </c>
      <c r="Q25" s="1617"/>
      <c r="R25" s="1617">
        <f t="shared" si="6"/>
        <v>100</v>
      </c>
      <c r="S25" s="1618"/>
      <c r="T25" s="1619"/>
      <c r="U25" s="1620"/>
    </row>
    <row r="26" spans="1:21" s="1052" customFormat="1" ht="24.75" customHeight="1">
      <c r="A26" s="1542">
        <v>16</v>
      </c>
      <c r="B26" s="1621" t="s">
        <v>573</v>
      </c>
      <c r="C26" s="1616">
        <f t="shared" si="7"/>
        <v>10</v>
      </c>
      <c r="D26" s="1616"/>
      <c r="E26" s="1616">
        <f>'56'!C25</f>
        <v>10</v>
      </c>
      <c r="F26" s="1616"/>
      <c r="G26" s="1616"/>
      <c r="H26" s="1616"/>
      <c r="I26" s="1616">
        <f t="shared" si="8"/>
        <v>10</v>
      </c>
      <c r="J26" s="1616"/>
      <c r="K26" s="1616">
        <f>'56'!D25</f>
        <v>10</v>
      </c>
      <c r="L26" s="1616"/>
      <c r="M26" s="1616"/>
      <c r="N26" s="1616"/>
      <c r="O26" s="1616"/>
      <c r="P26" s="1617">
        <f t="shared" si="5"/>
        <v>100</v>
      </c>
      <c r="Q26" s="1617"/>
      <c r="R26" s="1617">
        <f t="shared" si="6"/>
        <v>100</v>
      </c>
      <c r="S26" s="1618"/>
      <c r="T26" s="1619"/>
      <c r="U26" s="1620"/>
    </row>
    <row r="27" spans="1:21" s="1052" customFormat="1" ht="24.75" customHeight="1">
      <c r="A27" s="1542">
        <v>17</v>
      </c>
      <c r="B27" s="1621" t="s">
        <v>1350</v>
      </c>
      <c r="C27" s="1616">
        <f t="shared" si="7"/>
        <v>420</v>
      </c>
      <c r="D27" s="1616"/>
      <c r="E27" s="1616">
        <f>'56'!C26</f>
        <v>420</v>
      </c>
      <c r="F27" s="1616"/>
      <c r="G27" s="1616"/>
      <c r="H27" s="1616"/>
      <c r="I27" s="1616">
        <f t="shared" si="8"/>
        <v>420</v>
      </c>
      <c r="J27" s="1616"/>
      <c r="K27" s="1616">
        <f>'56'!D26</f>
        <v>420</v>
      </c>
      <c r="L27" s="1616"/>
      <c r="M27" s="1616"/>
      <c r="N27" s="1616"/>
      <c r="O27" s="1616"/>
      <c r="P27" s="1617">
        <f t="shared" si="5"/>
        <v>100</v>
      </c>
      <c r="Q27" s="1617"/>
      <c r="R27" s="1617">
        <f t="shared" si="6"/>
        <v>100</v>
      </c>
      <c r="S27" s="1618"/>
      <c r="T27" s="1619"/>
      <c r="U27" s="1620"/>
    </row>
    <row r="28" spans="1:21" s="1052" customFormat="1" ht="32.25" customHeight="1">
      <c r="A28" s="1537" t="s">
        <v>149</v>
      </c>
      <c r="B28" s="1538" t="s">
        <v>1181</v>
      </c>
      <c r="C28" s="1539"/>
      <c r="D28" s="1539"/>
      <c r="E28" s="1539"/>
      <c r="F28" s="1539"/>
      <c r="G28" s="1539"/>
      <c r="H28" s="1539"/>
      <c r="I28" s="1539"/>
      <c r="J28" s="1539"/>
      <c r="K28" s="1539"/>
      <c r="L28" s="1539"/>
      <c r="M28" s="1539"/>
      <c r="N28" s="1539"/>
      <c r="O28" s="1540"/>
      <c r="P28" s="1535"/>
      <c r="Q28" s="1535"/>
      <c r="R28" s="1535"/>
      <c r="S28" s="1536"/>
      <c r="T28" s="1092"/>
      <c r="U28" s="1093"/>
    </row>
    <row r="29" spans="1:21" s="1052" customFormat="1" ht="27" customHeight="1">
      <c r="A29" s="1537" t="s">
        <v>64</v>
      </c>
      <c r="B29" s="1538" t="s">
        <v>1182</v>
      </c>
      <c r="C29" s="1539"/>
      <c r="D29" s="1539"/>
      <c r="E29" s="1539"/>
      <c r="F29" s="1539"/>
      <c r="G29" s="1539"/>
      <c r="H29" s="1539"/>
      <c r="I29" s="1539"/>
      <c r="J29" s="1539"/>
      <c r="K29" s="1539"/>
      <c r="L29" s="1539"/>
      <c r="M29" s="1539"/>
      <c r="N29" s="1539"/>
      <c r="O29" s="1540"/>
      <c r="P29" s="1535"/>
      <c r="Q29" s="1535"/>
      <c r="R29" s="1535"/>
      <c r="S29" s="1536"/>
      <c r="T29" s="1092"/>
      <c r="U29" s="1093"/>
    </row>
    <row r="30" spans="1:21" s="1052" customFormat="1" ht="27" customHeight="1">
      <c r="A30" s="1537" t="s">
        <v>65</v>
      </c>
      <c r="B30" s="1538" t="s">
        <v>289</v>
      </c>
      <c r="C30" s="1539"/>
      <c r="D30" s="1539"/>
      <c r="E30" s="1539"/>
      <c r="F30" s="1539"/>
      <c r="G30" s="1539"/>
      <c r="H30" s="1539"/>
      <c r="I30" s="1539"/>
      <c r="J30" s="1539"/>
      <c r="K30" s="1539"/>
      <c r="L30" s="1539"/>
      <c r="M30" s="1539"/>
      <c r="N30" s="1539"/>
      <c r="O30" s="1540"/>
      <c r="P30" s="1535"/>
      <c r="Q30" s="1535"/>
      <c r="R30" s="1535"/>
      <c r="S30" s="1536"/>
      <c r="T30" s="1092"/>
      <c r="U30" s="1093"/>
    </row>
    <row r="31" spans="1:21" s="1052" customFormat="1" ht="27" customHeight="1">
      <c r="A31" s="1537" t="s">
        <v>69</v>
      </c>
      <c r="B31" s="1538" t="s">
        <v>290</v>
      </c>
      <c r="C31" s="1539"/>
      <c r="D31" s="1539"/>
      <c r="E31" s="1539"/>
      <c r="F31" s="1539"/>
      <c r="G31" s="1539"/>
      <c r="H31" s="1539"/>
      <c r="I31" s="1539"/>
      <c r="J31" s="1539"/>
      <c r="K31" s="1539"/>
      <c r="L31" s="1539"/>
      <c r="M31" s="1539"/>
      <c r="N31" s="1539"/>
      <c r="O31" s="1540"/>
      <c r="P31" s="1535"/>
      <c r="Q31" s="1535"/>
      <c r="R31" s="1535"/>
      <c r="S31" s="1536"/>
      <c r="T31" s="1092"/>
      <c r="U31" s="1093"/>
    </row>
    <row r="32" spans="1:21" s="1052" customFormat="1" ht="30" customHeight="1">
      <c r="A32" s="1537" t="s">
        <v>251</v>
      </c>
      <c r="B32" s="1538" t="s">
        <v>1183</v>
      </c>
      <c r="C32" s="1539"/>
      <c r="D32" s="1539"/>
      <c r="E32" s="1539"/>
      <c r="F32" s="1539"/>
      <c r="G32" s="1539"/>
      <c r="H32" s="1539"/>
      <c r="I32" s="1534">
        <f t="shared" si="8"/>
        <v>776.47793000000001</v>
      </c>
      <c r="J32" s="1539"/>
      <c r="K32" s="1540">
        <v>776.47793000000001</v>
      </c>
      <c r="L32" s="1539"/>
      <c r="M32" s="1539"/>
      <c r="N32" s="1539"/>
      <c r="O32" s="1540"/>
      <c r="P32" s="1535"/>
      <c r="Q32" s="1535"/>
      <c r="R32" s="1535"/>
      <c r="S32" s="1536"/>
      <c r="T32" s="1092"/>
      <c r="U32" s="1093"/>
    </row>
    <row r="33" spans="1:21" s="1052" customFormat="1" ht="30" customHeight="1">
      <c r="A33" s="1537" t="s">
        <v>369</v>
      </c>
      <c r="B33" s="1538" t="s">
        <v>378</v>
      </c>
      <c r="C33" s="1539"/>
      <c r="D33" s="1539"/>
      <c r="E33" s="1539"/>
      <c r="F33" s="1539"/>
      <c r="G33" s="1539"/>
      <c r="H33" s="1539"/>
      <c r="I33" s="1534">
        <f t="shared" si="8"/>
        <v>11664.487961000001</v>
      </c>
      <c r="J33" s="1539"/>
      <c r="K33" s="1539"/>
      <c r="L33" s="1539"/>
      <c r="M33" s="1539"/>
      <c r="N33" s="1539"/>
      <c r="O33" s="1540">
        <f>'56'!S28</f>
        <v>11664.487961000001</v>
      </c>
      <c r="P33" s="1535"/>
      <c r="Q33" s="1535"/>
      <c r="R33" s="1535"/>
      <c r="S33" s="1536"/>
      <c r="T33" s="1092"/>
      <c r="U33" s="1093"/>
    </row>
    <row r="34" spans="1:21" s="1052" customFormat="1" ht="29.25" hidden="1" customHeight="1">
      <c r="A34" s="1110" t="s">
        <v>441</v>
      </c>
      <c r="C34" s="1096"/>
      <c r="D34" s="1096"/>
      <c r="E34" s="1096"/>
      <c r="F34" s="1111"/>
      <c r="G34" s="1111"/>
      <c r="H34" s="1096"/>
      <c r="I34" s="1096"/>
      <c r="J34" s="1095"/>
      <c r="K34" s="1102"/>
      <c r="L34" s="1098"/>
      <c r="M34" s="1098"/>
      <c r="N34" s="1098"/>
      <c r="O34" s="1095"/>
      <c r="P34" s="1103"/>
      <c r="Q34" s="1096"/>
      <c r="R34" s="1096"/>
    </row>
    <row r="35" spans="1:21" s="1052" customFormat="1" ht="12.75" hidden="1">
      <c r="A35" s="1112" t="s">
        <v>79</v>
      </c>
      <c r="C35" s="1096"/>
      <c r="D35" s="1096"/>
      <c r="E35" s="1096"/>
      <c r="F35" s="1111"/>
      <c r="G35" s="1111"/>
      <c r="H35" s="1096"/>
      <c r="I35" s="1096"/>
      <c r="J35" s="1095"/>
      <c r="K35" s="1095"/>
      <c r="L35" s="1095"/>
      <c r="M35" s="1095"/>
      <c r="N35" s="1104"/>
      <c r="O35" s="1095"/>
      <c r="P35" s="1103"/>
      <c r="Q35" s="1096"/>
      <c r="R35" s="1096"/>
    </row>
    <row r="36" spans="1:21" s="1052" customFormat="1" ht="12.75" hidden="1">
      <c r="A36" s="1112" t="s">
        <v>392</v>
      </c>
      <c r="C36" s="1096"/>
      <c r="D36" s="1096"/>
      <c r="E36" s="1096"/>
      <c r="F36" s="1111"/>
      <c r="G36" s="1111"/>
      <c r="H36" s="1096"/>
      <c r="I36" s="1096"/>
      <c r="J36" s="1096"/>
      <c r="K36" s="1096"/>
      <c r="L36" s="1096"/>
      <c r="M36" s="1096"/>
      <c r="N36" s="1105"/>
      <c r="O36" s="1096"/>
      <c r="P36" s="1103"/>
      <c r="Q36" s="1096"/>
      <c r="R36" s="1096"/>
    </row>
    <row r="37" spans="1:21" s="1052" customFormat="1" ht="12.75">
      <c r="A37" s="1112"/>
      <c r="C37" s="1101"/>
      <c r="D37" s="1096"/>
      <c r="E37" s="1096"/>
      <c r="F37" s="1111"/>
      <c r="G37" s="1111"/>
      <c r="H37" s="1096"/>
      <c r="I37" s="1096"/>
      <c r="J37" s="1096"/>
      <c r="K37" s="1096"/>
      <c r="L37" s="1096"/>
      <c r="M37" s="1096"/>
      <c r="N37" s="1105"/>
      <c r="O37" s="1096"/>
      <c r="P37" s="1103"/>
      <c r="Q37" s="1096"/>
      <c r="R37" s="1096"/>
    </row>
  </sheetData>
  <mergeCells count="23">
    <mergeCell ref="P6:P7"/>
    <mergeCell ref="I6:I7"/>
    <mergeCell ref="P5:S5"/>
    <mergeCell ref="S6:S7"/>
    <mergeCell ref="J6:J7"/>
    <mergeCell ref="K6:K7"/>
    <mergeCell ref="L6:N6"/>
    <mergeCell ref="A3:S3"/>
    <mergeCell ref="G1:H1"/>
    <mergeCell ref="P4:S4"/>
    <mergeCell ref="E6:E7"/>
    <mergeCell ref="F6:H6"/>
    <mergeCell ref="Q6:Q7"/>
    <mergeCell ref="N1:O1"/>
    <mergeCell ref="A2:R2"/>
    <mergeCell ref="A5:A7"/>
    <mergeCell ref="B5:B7"/>
    <mergeCell ref="C5:H5"/>
    <mergeCell ref="C6:C7"/>
    <mergeCell ref="D6:D7"/>
    <mergeCell ref="O6:O7"/>
    <mergeCell ref="R6:R7"/>
    <mergeCell ref="I5:O5"/>
  </mergeCells>
  <phoneticPr fontId="32" type="noConversion"/>
  <pageMargins left="0.3" right="0.2" top="0.71" bottom="0.3" header="0.3" footer="0.19"/>
  <pageSetup paperSize="8" scale="95" firstPageNumber="157" orientation="landscape" useFirstPageNumber="1"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U15"/>
  <sheetViews>
    <sheetView zoomScale="85" zoomScaleNormal="85" workbookViewId="0">
      <pane ySplit="6" topLeftCell="A7" activePane="bottomLeft" state="frozen"/>
      <selection pane="bottomLeft" activeCell="H11" sqref="H11"/>
    </sheetView>
  </sheetViews>
  <sheetFormatPr defaultColWidth="9.28515625" defaultRowHeight="15"/>
  <cols>
    <col min="1" max="1" width="4.7109375" style="1053" customWidth="1"/>
    <col min="2" max="2" width="19.7109375" style="1053" customWidth="1"/>
    <col min="3" max="3" width="14.7109375" style="1080" customWidth="1"/>
    <col min="4" max="4" width="16.7109375" style="1053" customWidth="1"/>
    <col min="5" max="5" width="13.140625" style="1053" customWidth="1"/>
    <col min="6" max="6" width="6.42578125" style="1053" customWidth="1"/>
    <col min="7" max="7" width="7.7109375" style="1053" customWidth="1"/>
    <col min="8" max="8" width="10.42578125" style="1053" customWidth="1"/>
    <col min="9" max="9" width="7.5703125" style="1053" customWidth="1"/>
    <col min="10" max="10" width="15.42578125" style="1053" customWidth="1"/>
    <col min="11" max="11" width="8" style="1053" customWidth="1"/>
    <col min="12" max="12" width="6.5703125" style="1053" customWidth="1"/>
    <col min="13" max="13" width="11.42578125" style="1053" customWidth="1"/>
    <col min="14" max="14" width="14.5703125" style="1053" customWidth="1"/>
    <col min="15" max="15" width="14" style="1053" customWidth="1"/>
    <col min="16" max="16" width="12.85546875" style="1052" customWidth="1"/>
    <col min="17" max="17" width="14.85546875" style="1052" customWidth="1"/>
    <col min="18" max="18" width="13" style="1053" customWidth="1"/>
    <col min="19" max="19" width="9.28515625" style="1053" customWidth="1"/>
    <col min="20" max="20" width="7.5703125" style="1053" customWidth="1"/>
    <col min="21" max="21" width="14.5703125" style="1053" bestFit="1" customWidth="1"/>
    <col min="22" max="16384" width="9.28515625" style="1053"/>
  </cols>
  <sheetData>
    <row r="1" spans="1:21" s="33" customFormat="1" ht="24.75" customHeight="1">
      <c r="A1" s="1679" t="str">
        <f>'54'!A1</f>
        <v>UBND xã Trần Phú</v>
      </c>
      <c r="B1" s="1679"/>
      <c r="C1" s="1679"/>
      <c r="P1" s="37"/>
      <c r="Q1" s="37"/>
      <c r="R1" s="1671" t="s">
        <v>1173</v>
      </c>
      <c r="S1" s="1671"/>
      <c r="T1" s="1336"/>
    </row>
    <row r="2" spans="1:21" s="33" customFormat="1" ht="23.25" customHeight="1">
      <c r="A2" s="1707" t="s">
        <v>1172</v>
      </c>
      <c r="B2" s="1707"/>
      <c r="C2" s="1707"/>
      <c r="D2" s="1707"/>
      <c r="E2" s="1707"/>
      <c r="F2" s="1707"/>
      <c r="G2" s="1707"/>
      <c r="H2" s="1707"/>
      <c r="I2" s="1707"/>
      <c r="J2" s="1707"/>
      <c r="K2" s="1707"/>
      <c r="L2" s="1707"/>
      <c r="M2" s="1707"/>
      <c r="N2" s="1707"/>
      <c r="O2" s="1707"/>
      <c r="P2" s="1707"/>
      <c r="Q2" s="1707"/>
      <c r="R2" s="1707"/>
      <c r="S2" s="1707"/>
      <c r="T2" s="1707"/>
    </row>
    <row r="3" spans="1:21" s="33" customFormat="1" ht="23.25" customHeight="1">
      <c r="A3" s="1706" t="str">
        <f>'48.QTCĐNSĐP'!A3:F3</f>
        <v>(Kèm theo Quyết định số      /QĐ-UBND ngày 15/04/2026 nhân dân xã Trần Phú)</v>
      </c>
      <c r="B3" s="1706"/>
      <c r="C3" s="1706"/>
      <c r="D3" s="1706"/>
      <c r="E3" s="1706"/>
      <c r="F3" s="1706"/>
      <c r="G3" s="1706"/>
      <c r="H3" s="1706"/>
      <c r="I3" s="1706"/>
      <c r="J3" s="1706"/>
      <c r="K3" s="1706"/>
      <c r="L3" s="1706"/>
      <c r="M3" s="1706"/>
      <c r="N3" s="1706"/>
      <c r="O3" s="1706"/>
      <c r="P3" s="1706"/>
      <c r="Q3" s="1706"/>
      <c r="R3" s="1706"/>
      <c r="S3" s="1706"/>
      <c r="T3" s="1706"/>
    </row>
    <row r="4" spans="1:21" s="33" customFormat="1" ht="15.75">
      <c r="C4" s="1346"/>
      <c r="D4" s="1337"/>
      <c r="E4" s="1338"/>
      <c r="F4" s="1338"/>
      <c r="G4" s="1338"/>
      <c r="H4" s="1339"/>
      <c r="I4" s="1338"/>
      <c r="J4" s="1338"/>
      <c r="K4" s="1338"/>
      <c r="L4" s="1338"/>
      <c r="M4" s="1338"/>
      <c r="N4" s="1340"/>
      <c r="O4" s="1338"/>
      <c r="P4" s="1339"/>
      <c r="Q4" s="1341"/>
      <c r="T4" s="1342" t="s">
        <v>312</v>
      </c>
    </row>
    <row r="5" spans="1:21" s="33" customFormat="1" ht="27" customHeight="1">
      <c r="A5" s="1704" t="s">
        <v>313</v>
      </c>
      <c r="B5" s="1704" t="s">
        <v>253</v>
      </c>
      <c r="C5" s="1705" t="s">
        <v>315</v>
      </c>
      <c r="D5" s="1704" t="s">
        <v>146</v>
      </c>
      <c r="E5" s="1704" t="s">
        <v>239</v>
      </c>
      <c r="F5" s="1704" t="s">
        <v>294</v>
      </c>
      <c r="G5" s="1704" t="s">
        <v>295</v>
      </c>
      <c r="H5" s="1704" t="s">
        <v>365</v>
      </c>
      <c r="I5" s="1704" t="s">
        <v>371</v>
      </c>
      <c r="J5" s="1704" t="s">
        <v>372</v>
      </c>
      <c r="K5" s="1704" t="s">
        <v>334</v>
      </c>
      <c r="L5" s="1704" t="s">
        <v>366</v>
      </c>
      <c r="M5" s="1704" t="s">
        <v>373</v>
      </c>
      <c r="N5" s="1704" t="s">
        <v>367</v>
      </c>
      <c r="O5" s="1704" t="s">
        <v>248</v>
      </c>
      <c r="P5" s="1704"/>
      <c r="Q5" s="1704" t="s">
        <v>335</v>
      </c>
      <c r="R5" s="1704" t="s">
        <v>76</v>
      </c>
      <c r="S5" s="1704" t="s">
        <v>336</v>
      </c>
      <c r="T5" s="1704" t="s">
        <v>167</v>
      </c>
    </row>
    <row r="6" spans="1:21" s="33" customFormat="1" ht="74.25" customHeight="1">
      <c r="A6" s="1704"/>
      <c r="B6" s="1704"/>
      <c r="C6" s="1705"/>
      <c r="D6" s="1704"/>
      <c r="E6" s="1704"/>
      <c r="F6" s="1704"/>
      <c r="G6" s="1704"/>
      <c r="H6" s="1704"/>
      <c r="I6" s="1704"/>
      <c r="J6" s="1704"/>
      <c r="K6" s="1704"/>
      <c r="L6" s="1704"/>
      <c r="M6" s="1704"/>
      <c r="N6" s="1704"/>
      <c r="O6" s="1347" t="s">
        <v>80</v>
      </c>
      <c r="P6" s="1347" t="s">
        <v>130</v>
      </c>
      <c r="Q6" s="1704"/>
      <c r="R6" s="1704"/>
      <c r="S6" s="1704"/>
      <c r="T6" s="1704"/>
    </row>
    <row r="7" spans="1:21" s="1343" customFormat="1" ht="22.5" customHeight="1">
      <c r="A7" s="1348" t="s">
        <v>316</v>
      </c>
      <c r="B7" s="1348" t="s">
        <v>317</v>
      </c>
      <c r="C7" s="1349">
        <v>1</v>
      </c>
      <c r="D7" s="1348">
        <v>2</v>
      </c>
      <c r="E7" s="1348">
        <v>3</v>
      </c>
      <c r="F7" s="1348">
        <v>4</v>
      </c>
      <c r="G7" s="1348">
        <v>5</v>
      </c>
      <c r="H7" s="1348">
        <v>6</v>
      </c>
      <c r="I7" s="1348">
        <v>7</v>
      </c>
      <c r="J7" s="1348">
        <v>8</v>
      </c>
      <c r="K7" s="1348">
        <v>9</v>
      </c>
      <c r="L7" s="1348">
        <v>10</v>
      </c>
      <c r="M7" s="1348">
        <v>11</v>
      </c>
      <c r="N7" s="1348">
        <v>12</v>
      </c>
      <c r="O7" s="1348">
        <v>13</v>
      </c>
      <c r="P7" s="1348">
        <v>14</v>
      </c>
      <c r="Q7" s="1348">
        <v>15</v>
      </c>
      <c r="R7" s="1348">
        <v>16</v>
      </c>
      <c r="S7" s="1348">
        <v>17</v>
      </c>
      <c r="T7" s="1348" t="s">
        <v>131</v>
      </c>
    </row>
    <row r="8" spans="1:21" s="33" customFormat="1" ht="30" customHeight="1">
      <c r="A8" s="1347"/>
      <c r="B8" s="1350" t="s">
        <v>472</v>
      </c>
      <c r="C8" s="1351">
        <f>C9</f>
        <v>22167.618114000001</v>
      </c>
      <c r="D8" s="1351">
        <f>D9</f>
        <v>20986.962141000004</v>
      </c>
      <c r="E8" s="1351">
        <f>E9</f>
        <v>2985.3490350000002</v>
      </c>
      <c r="F8" s="1351"/>
      <c r="G8" s="1351"/>
      <c r="H8" s="1351"/>
      <c r="I8" s="1351"/>
      <c r="J8" s="1351">
        <f>J9</f>
        <v>751.27020000000005</v>
      </c>
      <c r="K8" s="1351"/>
      <c r="L8" s="1351"/>
      <c r="M8" s="1351">
        <f t="shared" ref="M8:R8" si="0">M9</f>
        <v>156.87010000000001</v>
      </c>
      <c r="N8" s="1351">
        <f t="shared" si="0"/>
        <v>13638.260038</v>
      </c>
      <c r="O8" s="1351">
        <f t="shared" si="0"/>
        <v>10006.956272000003</v>
      </c>
      <c r="P8" s="1351">
        <f t="shared" si="0"/>
        <v>1691.615417</v>
      </c>
      <c r="Q8" s="1351">
        <f t="shared" si="0"/>
        <v>1783.2127680000001</v>
      </c>
      <c r="R8" s="1351">
        <f t="shared" si="0"/>
        <v>1672</v>
      </c>
      <c r="S8" s="1351"/>
      <c r="T8" s="1352">
        <f>D8/C8*100</f>
        <v>94.673961059197637</v>
      </c>
      <c r="U8" s="1345"/>
    </row>
    <row r="9" spans="1:21" s="39" customFormat="1" ht="36.75" customHeight="1">
      <c r="A9" s="1347">
        <v>1</v>
      </c>
      <c r="B9" s="1353" t="s">
        <v>1174</v>
      </c>
      <c r="C9" s="1351">
        <f t="shared" ref="C9:S9" si="1">SUM(C10:C14)</f>
        <v>22167.618114000001</v>
      </c>
      <c r="D9" s="1351">
        <f t="shared" si="1"/>
        <v>20986.962141000004</v>
      </c>
      <c r="E9" s="1351">
        <f t="shared" si="1"/>
        <v>2985.3490350000002</v>
      </c>
      <c r="F9" s="1351">
        <f t="shared" si="1"/>
        <v>0</v>
      </c>
      <c r="G9" s="1351">
        <f t="shared" si="1"/>
        <v>0</v>
      </c>
      <c r="H9" s="1351">
        <f t="shared" si="1"/>
        <v>0</v>
      </c>
      <c r="I9" s="1351">
        <f t="shared" si="1"/>
        <v>0</v>
      </c>
      <c r="J9" s="1351">
        <f t="shared" si="1"/>
        <v>751.27020000000005</v>
      </c>
      <c r="K9" s="1351">
        <f t="shared" si="1"/>
        <v>0</v>
      </c>
      <c r="L9" s="1351">
        <f t="shared" si="1"/>
        <v>0</v>
      </c>
      <c r="M9" s="1351">
        <f t="shared" si="1"/>
        <v>156.87010000000001</v>
      </c>
      <c r="N9" s="1351">
        <f t="shared" si="1"/>
        <v>13638.260038</v>
      </c>
      <c r="O9" s="1351">
        <f t="shared" si="1"/>
        <v>10006.956272000003</v>
      </c>
      <c r="P9" s="1351">
        <f t="shared" si="1"/>
        <v>1691.615417</v>
      </c>
      <c r="Q9" s="1351">
        <f t="shared" si="1"/>
        <v>1783.2127680000001</v>
      </c>
      <c r="R9" s="1351">
        <f t="shared" si="1"/>
        <v>1672</v>
      </c>
      <c r="S9" s="1351">
        <f t="shared" si="1"/>
        <v>0</v>
      </c>
      <c r="T9" s="1354">
        <f t="shared" ref="T9:T12" si="2">+D9/C9*100</f>
        <v>94.673961059197637</v>
      </c>
    </row>
    <row r="10" spans="1:21" s="33" customFormat="1" ht="57" customHeight="1">
      <c r="A10" s="1355" t="s">
        <v>261</v>
      </c>
      <c r="B10" s="1356" t="s">
        <v>635</v>
      </c>
      <c r="C10" s="1357">
        <f>3954.877684+12444.428755</f>
        <v>16399.306439</v>
      </c>
      <c r="D10" s="1358">
        <f>E10+G10+H10+I10+J10+K10+L10+M10+N10+Q10+R10+S10</f>
        <v>15373.763094000002</v>
      </c>
      <c r="E10" s="1357">
        <f>720.019+84.279635</f>
        <v>804.29863499999999</v>
      </c>
      <c r="F10" s="1358"/>
      <c r="G10" s="1358"/>
      <c r="H10" s="1358"/>
      <c r="I10" s="1358"/>
      <c r="J10" s="1357">
        <v>505.96870000000001</v>
      </c>
      <c r="K10" s="1358"/>
      <c r="L10" s="1358"/>
      <c r="M10" s="1358">
        <v>156.87010000000001</v>
      </c>
      <c r="N10" s="1358">
        <f>3299.049794+12074.7133-E10-J10-M10-R10</f>
        <v>12234.625659000001</v>
      </c>
      <c r="O10" s="1358">
        <f>D10-E10-J10-M10-R10-P10-401.0458-539.5242-765.0126-67.237349</f>
        <v>8770.1902930000033</v>
      </c>
      <c r="P10" s="1358">
        <f>279.4081+384.4995+145.2056+377.4312+462.867336+42.203681</f>
        <v>1691.615417</v>
      </c>
      <c r="Q10" s="1358"/>
      <c r="R10" s="1358">
        <v>1672</v>
      </c>
      <c r="S10" s="1358"/>
      <c r="T10" s="1352">
        <f t="shared" si="2"/>
        <v>93.746422455030768</v>
      </c>
      <c r="U10" s="1344"/>
    </row>
    <row r="11" spans="1:21" s="33" customFormat="1" ht="61.9" customHeight="1">
      <c r="A11" s="1355" t="s">
        <v>261</v>
      </c>
      <c r="B11" s="1356" t="s">
        <v>1175</v>
      </c>
      <c r="C11" s="1357">
        <v>2883.7910000000002</v>
      </c>
      <c r="D11" s="1358">
        <f>E11+G11+H11+I11+J11+K11+L11+M11+N11+Q11+R11+S11</f>
        <v>2883.3990000000003</v>
      </c>
      <c r="E11" s="1358">
        <f>947.7883+475.9385+757.3236</f>
        <v>2181.0504000000001</v>
      </c>
      <c r="F11" s="1358"/>
      <c r="G11" s="1358"/>
      <c r="H11" s="1358"/>
      <c r="I11" s="1358"/>
      <c r="J11" s="1358">
        <v>245.3015</v>
      </c>
      <c r="K11" s="1358"/>
      <c r="L11" s="1358"/>
      <c r="M11" s="1358"/>
      <c r="N11" s="1358">
        <f>191.4671+147.0224+118.5576</f>
        <v>457.0471</v>
      </c>
      <c r="O11" s="1358">
        <f>191.4671+118.5576</f>
        <v>310.0247</v>
      </c>
      <c r="P11" s="1358"/>
      <c r="Q11" s="1358"/>
      <c r="R11" s="1358"/>
      <c r="S11" s="1358"/>
      <c r="T11" s="1352">
        <f>+D11/C11*100</f>
        <v>99.986406781906183</v>
      </c>
      <c r="U11" s="1344"/>
    </row>
    <row r="12" spans="1:21" s="33" customFormat="1" ht="78.599999999999994" customHeight="1">
      <c r="A12" s="1355" t="s">
        <v>261</v>
      </c>
      <c r="B12" s="1356" t="s">
        <v>1177</v>
      </c>
      <c r="C12" s="1357">
        <f>1432.090979+695.7</f>
        <v>2127.7909790000003</v>
      </c>
      <c r="D12" s="1358">
        <f t="shared" ref="D12:D14" si="3">E12+G12+H12+I12+J12+K12+L12+M12+N12+Q12+R12+S12</f>
        <v>2019.1471680000002</v>
      </c>
      <c r="E12" s="1359"/>
      <c r="F12" s="1358"/>
      <c r="G12" s="1358"/>
      <c r="H12" s="1358"/>
      <c r="I12" s="1358"/>
      <c r="J12" s="1358"/>
      <c r="K12" s="1358"/>
      <c r="L12" s="1358"/>
      <c r="M12" s="1358"/>
      <c r="N12" s="1358">
        <f>+O12</f>
        <v>235.93440000000001</v>
      </c>
      <c r="O12" s="1358">
        <v>235.93440000000001</v>
      </c>
      <c r="P12" s="1358"/>
      <c r="Q12" s="1358">
        <f>1087.512768+695.7</f>
        <v>1783.2127680000001</v>
      </c>
      <c r="R12" s="1358"/>
      <c r="S12" s="1358"/>
      <c r="T12" s="1352">
        <f t="shared" si="2"/>
        <v>94.894056226751204</v>
      </c>
      <c r="U12" s="1344"/>
    </row>
    <row r="13" spans="1:21" s="33" customFormat="1" ht="54" customHeight="1">
      <c r="A13" s="1355" t="s">
        <v>261</v>
      </c>
      <c r="B13" s="1356" t="s">
        <v>1176</v>
      </c>
      <c r="C13" s="1357">
        <v>698.37569599999995</v>
      </c>
      <c r="D13" s="1358">
        <f t="shared" si="3"/>
        <v>690.80687899999998</v>
      </c>
      <c r="E13" s="1357"/>
      <c r="F13" s="1357"/>
      <c r="G13" s="1357"/>
      <c r="H13" s="1357"/>
      <c r="I13" s="1357"/>
      <c r="J13" s="1357"/>
      <c r="K13" s="1357"/>
      <c r="L13" s="1357"/>
      <c r="M13" s="1357"/>
      <c r="N13" s="1357">
        <f>O13</f>
        <v>690.80687899999998</v>
      </c>
      <c r="O13" s="1357">
        <f>690.806879</f>
        <v>690.80687899999998</v>
      </c>
      <c r="P13" s="1357"/>
      <c r="Q13" s="1357"/>
      <c r="R13" s="1358"/>
      <c r="S13" s="1358"/>
      <c r="T13" s="1352">
        <f>+D13/C13*100</f>
        <v>98.916225601298706</v>
      </c>
      <c r="U13" s="1344"/>
    </row>
    <row r="14" spans="1:21" s="33" customFormat="1" ht="61.9" customHeight="1">
      <c r="A14" s="1355" t="s">
        <v>261</v>
      </c>
      <c r="B14" s="1356" t="s">
        <v>1346</v>
      </c>
      <c r="C14" s="1357">
        <v>58.353999999999999</v>
      </c>
      <c r="D14" s="1358">
        <f t="shared" si="3"/>
        <v>19.846</v>
      </c>
      <c r="E14" s="1357"/>
      <c r="F14" s="1357"/>
      <c r="G14" s="1357"/>
      <c r="H14" s="1357"/>
      <c r="I14" s="1357"/>
      <c r="J14" s="1357"/>
      <c r="K14" s="1357"/>
      <c r="L14" s="1357"/>
      <c r="M14" s="1357"/>
      <c r="N14" s="1357">
        <v>19.846</v>
      </c>
      <c r="O14" s="1357"/>
      <c r="P14" s="1357"/>
      <c r="Q14" s="1357"/>
      <c r="R14" s="1358"/>
      <c r="S14" s="1358"/>
      <c r="T14" s="1352">
        <f>+D14/C14*100</f>
        <v>34.009665147204991</v>
      </c>
      <c r="U14" s="1344"/>
    </row>
    <row r="15" spans="1:21">
      <c r="D15" s="1081"/>
    </row>
  </sheetData>
  <mergeCells count="23">
    <mergeCell ref="A1:C1"/>
    <mergeCell ref="F5:F6"/>
    <mergeCell ref="M5:M6"/>
    <mergeCell ref="G5:G6"/>
    <mergeCell ref="H5:H6"/>
    <mergeCell ref="E5:E6"/>
    <mergeCell ref="A3:T3"/>
    <mergeCell ref="T5:T6"/>
    <mergeCell ref="O5:P5"/>
    <mergeCell ref="R1:S1"/>
    <mergeCell ref="N5:N6"/>
    <mergeCell ref="R5:R6"/>
    <mergeCell ref="S5:S6"/>
    <mergeCell ref="A2:T2"/>
    <mergeCell ref="A5:A6"/>
    <mergeCell ref="B5:B6"/>
    <mergeCell ref="L5:L6"/>
    <mergeCell ref="Q5:Q6"/>
    <mergeCell ref="C5:C6"/>
    <mergeCell ref="D5:D6"/>
    <mergeCell ref="K5:K6"/>
    <mergeCell ref="I5:I6"/>
    <mergeCell ref="J5:J6"/>
  </mergeCells>
  <phoneticPr fontId="32" type="noConversion"/>
  <pageMargins left="0.32" right="0.2" top="0.71" bottom="0.34" header="0.3" footer="0.3"/>
  <pageSetup paperSize="8" scale="90" firstPageNumber="157" orientation="landscape" useFirstPageNumber="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U54"/>
  <sheetViews>
    <sheetView zoomScale="110" zoomScaleNormal="110" workbookViewId="0">
      <pane xSplit="2" ySplit="6" topLeftCell="C25" activePane="bottomRight" state="frozen"/>
      <selection pane="topRight" activeCell="C1" sqref="C1"/>
      <selection pane="bottomLeft" activeCell="A7" sqref="A7"/>
      <selection pane="bottomRight" activeCell="L40" sqref="L40"/>
    </sheetView>
  </sheetViews>
  <sheetFormatPr defaultColWidth="9.28515625" defaultRowHeight="15"/>
  <cols>
    <col min="1" max="1" width="4.28515625" style="28" customWidth="1"/>
    <col min="2" max="2" width="20.42578125" style="918" customWidth="1"/>
    <col min="3" max="3" width="12" style="31" customWidth="1"/>
    <col min="4" max="4" width="12.42578125" style="28" customWidth="1"/>
    <col min="5" max="5" width="11.28515625" style="391" customWidth="1"/>
    <col min="6" max="6" width="11" style="29" customWidth="1"/>
    <col min="7" max="7" width="10.28515625" style="29" customWidth="1"/>
    <col min="8" max="8" width="5.28515625" style="29" customWidth="1"/>
    <col min="9" max="9" width="9.5703125" style="28" customWidth="1"/>
    <col min="10" max="10" width="10" style="58" customWidth="1"/>
    <col min="11" max="11" width="10" style="28" customWidth="1"/>
    <col min="12" max="12" width="9.140625" style="28" customWidth="1"/>
    <col min="13" max="13" width="9.42578125" style="58" customWidth="1"/>
    <col min="14" max="14" width="11" style="28" customWidth="1"/>
    <col min="15" max="15" width="10.28515625" style="28" customWidth="1"/>
    <col min="16" max="16" width="10.7109375" style="84" customWidth="1"/>
    <col min="17" max="17" width="12.42578125" style="31" customWidth="1"/>
    <col min="18" max="18" width="11" style="28" customWidth="1"/>
    <col min="19" max="19" width="11.140625" style="28" customWidth="1"/>
    <col min="20" max="20" width="6.28515625" style="1089" customWidth="1"/>
    <col min="21" max="21" width="16.140625" style="28" customWidth="1"/>
    <col min="22" max="16384" width="9.28515625" style="28"/>
  </cols>
  <sheetData>
    <row r="1" spans="1:21" ht="24.75" customHeight="1">
      <c r="A1" s="1709" t="str">
        <f>+'55'!A1:C1</f>
        <v>UBND xã Trần Phú</v>
      </c>
      <c r="B1" s="1709"/>
      <c r="C1" s="1709"/>
      <c r="S1" s="1708" t="s">
        <v>1391</v>
      </c>
      <c r="T1" s="1708"/>
    </row>
    <row r="2" spans="1:21" ht="22.5" customHeight="1">
      <c r="A2" s="1711" t="s">
        <v>1185</v>
      </c>
      <c r="B2" s="1711"/>
      <c r="C2" s="1711"/>
      <c r="D2" s="1711"/>
      <c r="E2" s="1711"/>
      <c r="F2" s="1711"/>
      <c r="G2" s="1711"/>
      <c r="H2" s="1711"/>
      <c r="I2" s="1711"/>
      <c r="J2" s="1711"/>
      <c r="K2" s="1711"/>
      <c r="L2" s="1711"/>
      <c r="M2" s="1711"/>
      <c r="N2" s="1711"/>
      <c r="O2" s="1711"/>
      <c r="P2" s="1711"/>
      <c r="Q2" s="1711"/>
      <c r="R2" s="1711"/>
      <c r="S2" s="1711"/>
      <c r="T2" s="1711"/>
    </row>
    <row r="3" spans="1:21" ht="22.5" customHeight="1">
      <c r="A3" s="1716" t="str">
        <f>'48.QTCĐNSĐP'!A3:F3</f>
        <v>(Kèm theo Quyết định số      /QĐ-UBND ngày 15/04/2026 nhân dân xã Trần Phú)</v>
      </c>
      <c r="B3" s="1716"/>
      <c r="C3" s="1716"/>
      <c r="D3" s="1716"/>
      <c r="E3" s="1716"/>
      <c r="F3" s="1716"/>
      <c r="G3" s="1716"/>
      <c r="H3" s="1716"/>
      <c r="I3" s="1716"/>
      <c r="J3" s="1716"/>
      <c r="K3" s="1716"/>
      <c r="L3" s="1716"/>
      <c r="M3" s="1716"/>
      <c r="N3" s="1716"/>
      <c r="O3" s="1716"/>
      <c r="P3" s="1716"/>
      <c r="Q3" s="1716"/>
      <c r="R3" s="1716"/>
      <c r="S3" s="1716"/>
      <c r="T3" s="1716"/>
    </row>
    <row r="4" spans="1:21" s="1087" customFormat="1" ht="22.5" customHeight="1">
      <c r="A4" s="1085"/>
      <c r="B4" s="1085"/>
      <c r="C4" s="1086"/>
      <c r="D4" s="1143"/>
      <c r="E4" s="1083"/>
      <c r="F4" s="1083"/>
      <c r="G4" s="1083"/>
      <c r="H4" s="1083"/>
      <c r="I4" s="1083"/>
      <c r="J4" s="1083"/>
      <c r="K4" s="1083"/>
      <c r="L4" s="1083"/>
      <c r="M4" s="1083"/>
      <c r="N4" s="1083"/>
      <c r="O4" s="1083"/>
      <c r="P4" s="1135"/>
      <c r="Q4" s="1083"/>
      <c r="R4" s="1084"/>
      <c r="S4" s="1715" t="s">
        <v>312</v>
      </c>
      <c r="T4" s="1715"/>
    </row>
    <row r="5" spans="1:21" s="918" customFormat="1" ht="22.5" customHeight="1">
      <c r="A5" s="1710" t="s">
        <v>313</v>
      </c>
      <c r="B5" s="1710" t="s">
        <v>253</v>
      </c>
      <c r="C5" s="1710" t="s">
        <v>315</v>
      </c>
      <c r="D5" s="1710" t="s">
        <v>146</v>
      </c>
      <c r="E5" s="1713" t="s">
        <v>239</v>
      </c>
      <c r="F5" s="1714" t="s">
        <v>295</v>
      </c>
      <c r="G5" s="1714" t="s">
        <v>365</v>
      </c>
      <c r="H5" s="1714" t="s">
        <v>542</v>
      </c>
      <c r="I5" s="1710" t="s">
        <v>371</v>
      </c>
      <c r="J5" s="1712" t="s">
        <v>372</v>
      </c>
      <c r="K5" s="1710" t="s">
        <v>334</v>
      </c>
      <c r="L5" s="1710" t="s">
        <v>366</v>
      </c>
      <c r="M5" s="1712" t="s">
        <v>373</v>
      </c>
      <c r="N5" s="1710" t="s">
        <v>367</v>
      </c>
      <c r="O5" s="1710" t="s">
        <v>248</v>
      </c>
      <c r="P5" s="1710"/>
      <c r="Q5" s="1710" t="s">
        <v>335</v>
      </c>
      <c r="R5" s="1710" t="s">
        <v>76</v>
      </c>
      <c r="S5" s="1710" t="s">
        <v>643</v>
      </c>
      <c r="T5" s="1718" t="s">
        <v>167</v>
      </c>
    </row>
    <row r="6" spans="1:21" s="918" customFormat="1" ht="69" customHeight="1">
      <c r="A6" s="1710"/>
      <c r="B6" s="1710"/>
      <c r="C6" s="1710"/>
      <c r="D6" s="1710"/>
      <c r="E6" s="1713"/>
      <c r="F6" s="1714"/>
      <c r="G6" s="1714"/>
      <c r="H6" s="1714"/>
      <c r="I6" s="1710"/>
      <c r="J6" s="1712"/>
      <c r="K6" s="1710"/>
      <c r="L6" s="1710"/>
      <c r="M6" s="1712"/>
      <c r="N6" s="1710"/>
      <c r="O6" s="1614" t="s">
        <v>80</v>
      </c>
      <c r="P6" s="1614" t="s">
        <v>130</v>
      </c>
      <c r="Q6" s="1710"/>
      <c r="R6" s="1710"/>
      <c r="S6" s="1710"/>
      <c r="T6" s="1718"/>
    </row>
    <row r="7" spans="1:21" s="1644" customFormat="1" ht="25.5" customHeight="1">
      <c r="A7" s="932" t="s">
        <v>316</v>
      </c>
      <c r="B7" s="932" t="s">
        <v>317</v>
      </c>
      <c r="C7" s="932">
        <v>1</v>
      </c>
      <c r="D7" s="932">
        <v>2</v>
      </c>
      <c r="E7" s="1641">
        <v>3</v>
      </c>
      <c r="F7" s="1641">
        <v>4</v>
      </c>
      <c r="G7" s="1641">
        <v>5</v>
      </c>
      <c r="H7" s="1642"/>
      <c r="I7" s="932">
        <v>6</v>
      </c>
      <c r="J7" s="1641">
        <v>7</v>
      </c>
      <c r="K7" s="932">
        <v>8</v>
      </c>
      <c r="L7" s="932">
        <v>9</v>
      </c>
      <c r="M7" s="1641">
        <v>10</v>
      </c>
      <c r="N7" s="932">
        <v>11</v>
      </c>
      <c r="O7" s="932">
        <v>12</v>
      </c>
      <c r="P7" s="932">
        <v>13</v>
      </c>
      <c r="Q7" s="932">
        <v>14</v>
      </c>
      <c r="R7" s="932">
        <v>15</v>
      </c>
      <c r="S7" s="932"/>
      <c r="T7" s="1643" t="s">
        <v>104</v>
      </c>
    </row>
    <row r="8" spans="1:21" s="1088" customFormat="1" ht="24.75" customHeight="1">
      <c r="A8" s="1462"/>
      <c r="B8" s="1463" t="s">
        <v>472</v>
      </c>
      <c r="C8" s="1632">
        <f>C9+C27+C28+C29</f>
        <v>111672.64324299998</v>
      </c>
      <c r="D8" s="1632">
        <f>D9+D27+D28+D29</f>
        <v>117263.429772</v>
      </c>
      <c r="E8" s="1632">
        <f t="shared" ref="E8:S8" si="0">E9+E27+E28+E29</f>
        <v>45743.103488000001</v>
      </c>
      <c r="F8" s="1632">
        <f t="shared" si="0"/>
        <v>1012.572181</v>
      </c>
      <c r="G8" s="1632">
        <f t="shared" si="0"/>
        <v>418.03000000000003</v>
      </c>
      <c r="H8" s="1632"/>
      <c r="I8" s="1632">
        <f t="shared" si="0"/>
        <v>88.451999999999998</v>
      </c>
      <c r="J8" s="1632">
        <f t="shared" si="0"/>
        <v>218.85600000000002</v>
      </c>
      <c r="K8" s="1632">
        <f t="shared" si="0"/>
        <v>37.758377000000003</v>
      </c>
      <c r="L8" s="1632">
        <f t="shared" si="0"/>
        <v>68.977000000000004</v>
      </c>
      <c r="M8" s="1632">
        <f t="shared" si="0"/>
        <v>340</v>
      </c>
      <c r="N8" s="1632">
        <f t="shared" si="0"/>
        <v>12873.719002999998</v>
      </c>
      <c r="O8" s="1632">
        <f t="shared" si="0"/>
        <v>2585.0583329999999</v>
      </c>
      <c r="P8" s="1632">
        <f t="shared" si="0"/>
        <v>9578.7472699999998</v>
      </c>
      <c r="Q8" s="1632">
        <f t="shared" si="0"/>
        <v>37815.235611999997</v>
      </c>
      <c r="R8" s="1632">
        <f t="shared" si="0"/>
        <v>6195.7602200000001</v>
      </c>
      <c r="S8" s="1632">
        <f t="shared" si="0"/>
        <v>12450.965891</v>
      </c>
      <c r="T8" s="1633">
        <f t="shared" ref="T8:T26" si="1">D8/C8*100</f>
        <v>105.00640655279776</v>
      </c>
      <c r="U8" s="1598"/>
    </row>
    <row r="9" spans="1:21" s="1088" customFormat="1" ht="24.75" customHeight="1">
      <c r="A9" s="1464" t="s">
        <v>318</v>
      </c>
      <c r="B9" s="353" t="s">
        <v>113</v>
      </c>
      <c r="C9" s="1634">
        <f>SUM(C10:C26)</f>
        <v>111672.64324299998</v>
      </c>
      <c r="D9" s="1634">
        <f t="shared" ref="D9:S9" si="2">SUM(D10:D26)</f>
        <v>104822.463881</v>
      </c>
      <c r="E9" s="1634">
        <f t="shared" si="2"/>
        <v>45743.103488000001</v>
      </c>
      <c r="F9" s="1634">
        <f t="shared" si="2"/>
        <v>1012.572181</v>
      </c>
      <c r="G9" s="1634">
        <f t="shared" si="2"/>
        <v>418.03000000000003</v>
      </c>
      <c r="H9" s="1634"/>
      <c r="I9" s="1634">
        <f t="shared" si="2"/>
        <v>88.451999999999998</v>
      </c>
      <c r="J9" s="1634">
        <f t="shared" si="2"/>
        <v>218.85600000000002</v>
      </c>
      <c r="K9" s="1634">
        <f t="shared" si="2"/>
        <v>37.758377000000003</v>
      </c>
      <c r="L9" s="1634">
        <f t="shared" si="2"/>
        <v>68.977000000000004</v>
      </c>
      <c r="M9" s="1634">
        <f t="shared" si="2"/>
        <v>340</v>
      </c>
      <c r="N9" s="1634">
        <f t="shared" si="2"/>
        <v>12873.719002999998</v>
      </c>
      <c r="O9" s="1634">
        <f t="shared" si="2"/>
        <v>2585.0583329999999</v>
      </c>
      <c r="P9" s="1634">
        <f t="shared" si="2"/>
        <v>9578.7472699999998</v>
      </c>
      <c r="Q9" s="1634">
        <f t="shared" si="2"/>
        <v>37815.235611999997</v>
      </c>
      <c r="R9" s="1634">
        <f t="shared" si="2"/>
        <v>6195.7602200000001</v>
      </c>
      <c r="S9" s="1634">
        <f t="shared" si="2"/>
        <v>10</v>
      </c>
      <c r="T9" s="1635">
        <f t="shared" si="1"/>
        <v>93.865839329070084</v>
      </c>
      <c r="U9" s="1598"/>
    </row>
    <row r="10" spans="1:21" s="918" customFormat="1" ht="21.75" customHeight="1">
      <c r="A10" s="1314">
        <v>1</v>
      </c>
      <c r="B10" s="1370" t="s">
        <v>1184</v>
      </c>
      <c r="C10" s="1465">
        <f>'57'!C10</f>
        <v>26649.445084999999</v>
      </c>
      <c r="D10" s="1465">
        <v>24410.014924999999</v>
      </c>
      <c r="E10" s="1465"/>
      <c r="F10" s="1465">
        <f>442.740943+569.831238</f>
        <v>1012.572181</v>
      </c>
      <c r="G10" s="1465">
        <f>224.73+164.74</f>
        <v>389.47</v>
      </c>
      <c r="H10" s="1465"/>
      <c r="I10" s="1465"/>
      <c r="J10" s="1465">
        <v>33.130000000000003</v>
      </c>
      <c r="K10" s="1465">
        <v>26.139236</v>
      </c>
      <c r="L10" s="1465">
        <v>68.977000000000004</v>
      </c>
      <c r="M10" s="1465">
        <v>15</v>
      </c>
      <c r="N10" s="1465"/>
      <c r="O10" s="1465"/>
      <c r="P10" s="1465"/>
      <c r="Q10" s="1465">
        <f>D10-F10-G10-J10-K10-L10-M10-R10</f>
        <v>22354.637287999998</v>
      </c>
      <c r="R10" s="1465">
        <f>85.05992+242.4226+182.6067</f>
        <v>510.08922000000001</v>
      </c>
      <c r="S10" s="1465"/>
      <c r="T10" s="1636">
        <f t="shared" si="1"/>
        <v>91.596709977047539</v>
      </c>
      <c r="U10" s="1645"/>
    </row>
    <row r="11" spans="1:21" s="918" customFormat="1" ht="31.5" customHeight="1">
      <c r="A11" s="1314">
        <v>2</v>
      </c>
      <c r="B11" s="1370" t="s">
        <v>1161</v>
      </c>
      <c r="C11" s="1465">
        <f>'57'!C11</f>
        <v>20448.130023999998</v>
      </c>
      <c r="D11" s="1465">
        <v>17644.467199999999</v>
      </c>
      <c r="E11" s="1465">
        <f>485.799+331.827256+6.9</f>
        <v>824.52625599999999</v>
      </c>
      <c r="F11" s="1465"/>
      <c r="G11" s="1465"/>
      <c r="H11" s="1465"/>
      <c r="I11" s="1465"/>
      <c r="J11" s="1465"/>
      <c r="K11" s="1465"/>
      <c r="L11" s="1465"/>
      <c r="M11" s="1465">
        <f>35+276.4+13.6</f>
        <v>325</v>
      </c>
      <c r="N11" s="1465">
        <f>D11-E11-M11-Q11-R11</f>
        <v>12873.719002999998</v>
      </c>
      <c r="O11" s="1465">
        <f>1503.491503+1021.06683+60.5</f>
        <v>2585.0583329999999</v>
      </c>
      <c r="P11" s="1465">
        <f>2166.3297+166.3226+0.424+303.27435+1624.831356+1780.047194+127.447+359.555922+2674.843612+363.321536+12.35</f>
        <v>9578.7472699999998</v>
      </c>
      <c r="Q11" s="1465">
        <f>852.628021+469.55656+70.25616+877.149+6.81+0.5</f>
        <v>2276.8997409999997</v>
      </c>
      <c r="R11" s="1465">
        <f>600+744.3222</f>
        <v>1344.3222000000001</v>
      </c>
      <c r="S11" s="1465"/>
      <c r="T11" s="1636">
        <f t="shared" si="1"/>
        <v>86.288903578423373</v>
      </c>
      <c r="U11" s="1645"/>
    </row>
    <row r="12" spans="1:21" s="918" customFormat="1" ht="20.25" customHeight="1">
      <c r="A12" s="1314">
        <v>3</v>
      </c>
      <c r="B12" s="1370" t="s">
        <v>1186</v>
      </c>
      <c r="C12" s="1465">
        <f>'57'!C12</f>
        <v>7087.7162040000003</v>
      </c>
      <c r="D12" s="1465">
        <f>+'57'!H12</f>
        <v>6329.3076110000002</v>
      </c>
      <c r="E12" s="1465">
        <f>425.4+24.5+140.84+9</f>
        <v>599.74</v>
      </c>
      <c r="F12" s="1465"/>
      <c r="G12" s="1465"/>
      <c r="H12" s="1465"/>
      <c r="I12" s="1465">
        <v>88.451999999999998</v>
      </c>
      <c r="J12" s="1465">
        <f>85.1+4.9+84.533+3.3+7.893</f>
        <v>185.72600000000003</v>
      </c>
      <c r="K12" s="1465">
        <v>11.619141000000001</v>
      </c>
      <c r="L12" s="1465"/>
      <c r="M12" s="1465"/>
      <c r="N12" s="1465"/>
      <c r="O12" s="1465"/>
      <c r="P12" s="1465"/>
      <c r="Q12" s="1465">
        <f>D12-E12-I12-J12-K12-R12</f>
        <v>1789.4316700000004</v>
      </c>
      <c r="R12" s="1465">
        <f>2755.4388+702.9+24.8+171.2</f>
        <v>3654.3388</v>
      </c>
      <c r="S12" s="1465"/>
      <c r="T12" s="1636">
        <f t="shared" si="1"/>
        <v>89.299676070946703</v>
      </c>
      <c r="U12" s="1645"/>
    </row>
    <row r="13" spans="1:21" s="918" customFormat="1" ht="20.25" customHeight="1">
      <c r="A13" s="1314">
        <v>4</v>
      </c>
      <c r="B13" s="1370" t="s">
        <v>1187</v>
      </c>
      <c r="C13" s="1465">
        <f>+'57'!C13</f>
        <v>2328.9117970000002</v>
      </c>
      <c r="D13" s="1465">
        <f>+'57'!H13</f>
        <v>2255.4173850000002</v>
      </c>
      <c r="E13" s="1465"/>
      <c r="F13" s="1465"/>
      <c r="G13" s="1465"/>
      <c r="H13" s="1465"/>
      <c r="I13" s="1465"/>
      <c r="J13" s="1465"/>
      <c r="K13" s="1465"/>
      <c r="L13" s="1465"/>
      <c r="M13" s="1465"/>
      <c r="N13" s="1465"/>
      <c r="O13" s="1465"/>
      <c r="P13" s="1465"/>
      <c r="Q13" s="1465">
        <v>2255.4173850000002</v>
      </c>
      <c r="R13" s="1465"/>
      <c r="S13" s="1465"/>
      <c r="T13" s="1636">
        <f t="shared" si="1"/>
        <v>96.844259533801477</v>
      </c>
      <c r="U13" s="1645"/>
    </row>
    <row r="14" spans="1:21" s="918" customFormat="1" ht="26.25" customHeight="1">
      <c r="A14" s="1314">
        <v>5</v>
      </c>
      <c r="B14" s="1370" t="s">
        <v>1188</v>
      </c>
      <c r="C14" s="1465">
        <f>+'57'!C14</f>
        <v>6698.3011130000004</v>
      </c>
      <c r="D14" s="1465">
        <f>+'57'!H14</f>
        <v>6308.4526130000004</v>
      </c>
      <c r="E14" s="1465"/>
      <c r="F14" s="1465"/>
      <c r="G14" s="1465"/>
      <c r="H14" s="1465"/>
      <c r="I14" s="1465"/>
      <c r="J14" s="1465"/>
      <c r="K14" s="1465"/>
      <c r="L14" s="1465"/>
      <c r="M14" s="1465"/>
      <c r="N14" s="1465"/>
      <c r="O14" s="1465"/>
      <c r="P14" s="1465"/>
      <c r="Q14" s="1465">
        <f>D14</f>
        <v>6308.4526130000004</v>
      </c>
      <c r="R14" s="1465"/>
      <c r="S14" s="1465"/>
      <c r="T14" s="1636">
        <f t="shared" si="1"/>
        <v>94.179889894119782</v>
      </c>
      <c r="U14" s="1646"/>
    </row>
    <row r="15" spans="1:21" s="918" customFormat="1" ht="27.75" customHeight="1">
      <c r="A15" s="1314">
        <v>6</v>
      </c>
      <c r="B15" s="1370" t="s">
        <v>1189</v>
      </c>
      <c r="C15" s="1465">
        <f>+'57'!C15</f>
        <v>3117.406915</v>
      </c>
      <c r="D15" s="1465">
        <f>+'57'!H15</f>
        <v>3097.406915</v>
      </c>
      <c r="E15" s="1465"/>
      <c r="F15" s="1465"/>
      <c r="G15" s="1465"/>
      <c r="H15" s="1465"/>
      <c r="I15" s="1465"/>
      <c r="J15" s="1465"/>
      <c r="K15" s="1465"/>
      <c r="L15" s="1465"/>
      <c r="M15" s="1465"/>
      <c r="N15" s="1465"/>
      <c r="O15" s="1465"/>
      <c r="P15" s="1465"/>
      <c r="Q15" s="1465">
        <v>2830.3969149999998</v>
      </c>
      <c r="R15" s="1465">
        <v>267.01</v>
      </c>
      <c r="S15" s="1465"/>
      <c r="T15" s="1636">
        <f t="shared" si="1"/>
        <v>99.358441148514615</v>
      </c>
      <c r="U15" s="1646"/>
    </row>
    <row r="16" spans="1:21" s="918" customFormat="1" ht="21" customHeight="1">
      <c r="A16" s="1314">
        <v>7</v>
      </c>
      <c r="B16" s="1370" t="s">
        <v>1202</v>
      </c>
      <c r="C16" s="1465">
        <v>4869.7452929999999</v>
      </c>
      <c r="D16" s="1465">
        <f>E16</f>
        <v>4820.7740309999999</v>
      </c>
      <c r="E16" s="1465">
        <v>4820.7740309999999</v>
      </c>
      <c r="F16" s="1465"/>
      <c r="G16" s="1465"/>
      <c r="H16" s="1465"/>
      <c r="I16" s="1465"/>
      <c r="J16" s="1465"/>
      <c r="K16" s="1465"/>
      <c r="L16" s="1465"/>
      <c r="M16" s="1465"/>
      <c r="N16" s="1465"/>
      <c r="O16" s="1465"/>
      <c r="P16" s="1465"/>
      <c r="Q16" s="1465"/>
      <c r="R16" s="1465"/>
      <c r="S16" s="1465"/>
      <c r="T16" s="1636">
        <f t="shared" si="1"/>
        <v>98.994377343094442</v>
      </c>
      <c r="U16" s="1646"/>
    </row>
    <row r="17" spans="1:21" s="918" customFormat="1" ht="21" customHeight="1">
      <c r="A17" s="1314">
        <v>8</v>
      </c>
      <c r="B17" s="1370" t="s">
        <v>1347</v>
      </c>
      <c r="C17" s="1465">
        <v>10921.247584999999</v>
      </c>
      <c r="D17" s="1465">
        <f>E17</f>
        <v>10721.105974</v>
      </c>
      <c r="E17" s="1465">
        <v>10721.105974</v>
      </c>
      <c r="F17" s="1465"/>
      <c r="G17" s="1465"/>
      <c r="H17" s="1465"/>
      <c r="I17" s="1465"/>
      <c r="J17" s="1465"/>
      <c r="K17" s="1465"/>
      <c r="L17" s="1465"/>
      <c r="M17" s="1465"/>
      <c r="N17" s="1465"/>
      <c r="O17" s="1465"/>
      <c r="P17" s="1465"/>
      <c r="Q17" s="1465"/>
      <c r="R17" s="1465"/>
      <c r="S17" s="1465"/>
      <c r="T17" s="1636">
        <f t="shared" si="1"/>
        <v>98.167410733597066</v>
      </c>
      <c r="U17" s="1646"/>
    </row>
    <row r="18" spans="1:21" s="918" customFormat="1" ht="27" customHeight="1">
      <c r="A18" s="1314">
        <v>9</v>
      </c>
      <c r="B18" s="1370" t="s">
        <v>1203</v>
      </c>
      <c r="C18" s="1465">
        <v>3125.5982220000001</v>
      </c>
      <c r="D18" s="1465">
        <f>E18</f>
        <v>3093.448222</v>
      </c>
      <c r="E18" s="1465">
        <v>3093.448222</v>
      </c>
      <c r="F18" s="1465"/>
      <c r="G18" s="1465"/>
      <c r="H18" s="1465"/>
      <c r="I18" s="1465"/>
      <c r="J18" s="1465"/>
      <c r="K18" s="1465"/>
      <c r="L18" s="1465"/>
      <c r="M18" s="1465"/>
      <c r="N18" s="1465"/>
      <c r="O18" s="1465"/>
      <c r="P18" s="1465"/>
      <c r="Q18" s="1465"/>
      <c r="R18" s="1465"/>
      <c r="S18" s="1465"/>
      <c r="T18" s="1636">
        <f t="shared" si="1"/>
        <v>98.971396906559917</v>
      </c>
      <c r="U18" s="1646"/>
    </row>
    <row r="19" spans="1:21" s="918" customFormat="1" ht="27" customHeight="1">
      <c r="A19" s="1314">
        <v>10</v>
      </c>
      <c r="B19" s="1370" t="s">
        <v>1348</v>
      </c>
      <c r="C19" s="1465">
        <v>7030.365307</v>
      </c>
      <c r="D19" s="1465">
        <v>7011.8913069999999</v>
      </c>
      <c r="E19" s="1465">
        <v>7011.8913069999999</v>
      </c>
      <c r="F19" s="1465"/>
      <c r="G19" s="1465"/>
      <c r="H19" s="1465"/>
      <c r="I19" s="1465"/>
      <c r="J19" s="1465"/>
      <c r="K19" s="1465"/>
      <c r="L19" s="1465"/>
      <c r="M19" s="1465"/>
      <c r="N19" s="1465"/>
      <c r="O19" s="1465"/>
      <c r="P19" s="1465"/>
      <c r="Q19" s="1465"/>
      <c r="R19" s="1465"/>
      <c r="S19" s="1465"/>
      <c r="T19" s="1636">
        <f t="shared" si="1"/>
        <v>99.737225603602624</v>
      </c>
      <c r="U19" s="1647"/>
    </row>
    <row r="20" spans="1:21" s="918" customFormat="1" ht="24.75" customHeight="1">
      <c r="A20" s="1314">
        <v>11</v>
      </c>
      <c r="B20" s="1370" t="s">
        <v>1206</v>
      </c>
      <c r="C20" s="1465">
        <v>6287.6122679999999</v>
      </c>
      <c r="D20" s="1465">
        <f>E20</f>
        <v>6195.2102679999998</v>
      </c>
      <c r="E20" s="1465">
        <v>6195.2102679999998</v>
      </c>
      <c r="F20" s="1465"/>
      <c r="G20" s="1465"/>
      <c r="H20" s="1465"/>
      <c r="I20" s="1465"/>
      <c r="J20" s="1465"/>
      <c r="K20" s="1465"/>
      <c r="L20" s="1465"/>
      <c r="M20" s="1465"/>
      <c r="N20" s="1465"/>
      <c r="O20" s="1465"/>
      <c r="P20" s="1465"/>
      <c r="Q20" s="1465"/>
      <c r="R20" s="1465"/>
      <c r="S20" s="1465"/>
      <c r="T20" s="1636">
        <f t="shared" si="1"/>
        <v>98.530411926475352</v>
      </c>
      <c r="U20" s="1647"/>
    </row>
    <row r="21" spans="1:21" s="918" customFormat="1" ht="21" customHeight="1">
      <c r="A21" s="1314">
        <v>12</v>
      </c>
      <c r="B21" s="1370" t="s">
        <v>1207</v>
      </c>
      <c r="C21" s="1465">
        <f>+'57'!C21</f>
        <v>7399.2867900000001</v>
      </c>
      <c r="D21" s="1465">
        <f>+'57'!H21</f>
        <v>7349.9307900000003</v>
      </c>
      <c r="E21" s="1465">
        <v>7349.9307900000003</v>
      </c>
      <c r="F21" s="1465"/>
      <c r="G21" s="1465"/>
      <c r="H21" s="1465"/>
      <c r="I21" s="1465"/>
      <c r="J21" s="1465"/>
      <c r="K21" s="1465"/>
      <c r="L21" s="1465"/>
      <c r="M21" s="1465"/>
      <c r="N21" s="1465"/>
      <c r="O21" s="1465"/>
      <c r="P21" s="1465"/>
      <c r="Q21" s="1465"/>
      <c r="R21" s="1465"/>
      <c r="S21" s="1465"/>
      <c r="T21" s="1636">
        <f t="shared" si="1"/>
        <v>99.332962738156013</v>
      </c>
      <c r="U21" s="1646"/>
    </row>
    <row r="22" spans="1:21" s="918" customFormat="1" ht="21" customHeight="1">
      <c r="A22" s="1314">
        <v>13</v>
      </c>
      <c r="B22" s="1370" t="s">
        <v>1349</v>
      </c>
      <c r="C22" s="1465">
        <v>5201.8786399999999</v>
      </c>
      <c r="D22" s="1465">
        <v>5122.7326400000002</v>
      </c>
      <c r="E22" s="1465">
        <v>5122.7326400000002</v>
      </c>
      <c r="F22" s="1465"/>
      <c r="G22" s="1465"/>
      <c r="H22" s="1465"/>
      <c r="I22" s="1465"/>
      <c r="J22" s="1465"/>
      <c r="K22" s="1465"/>
      <c r="L22" s="1465"/>
      <c r="M22" s="1465"/>
      <c r="N22" s="1465"/>
      <c r="O22" s="1465"/>
      <c r="P22" s="1465"/>
      <c r="Q22" s="1465"/>
      <c r="R22" s="1465"/>
      <c r="S22" s="1465"/>
      <c r="T22" s="1636">
        <f t="shared" si="1"/>
        <v>98.478511217247473</v>
      </c>
      <c r="U22" s="1646"/>
    </row>
    <row r="23" spans="1:21" s="918" customFormat="1" ht="21" customHeight="1">
      <c r="A23" s="1314">
        <v>14</v>
      </c>
      <c r="B23" s="1370" t="s">
        <v>1209</v>
      </c>
      <c r="C23" s="1465">
        <f>'57'!C23</f>
        <v>48.438000000000002</v>
      </c>
      <c r="D23" s="1465">
        <f>E23</f>
        <v>3.7440000000000002</v>
      </c>
      <c r="E23" s="1465">
        <f>'57'!H23</f>
        <v>3.7440000000000002</v>
      </c>
      <c r="F23" s="1465"/>
      <c r="G23" s="1465"/>
      <c r="H23" s="1465"/>
      <c r="I23" s="1465"/>
      <c r="J23" s="1465"/>
      <c r="K23" s="1465"/>
      <c r="L23" s="1465"/>
      <c r="M23" s="1465"/>
      <c r="N23" s="1465"/>
      <c r="O23" s="1465"/>
      <c r="P23" s="1465"/>
      <c r="Q23" s="1465"/>
      <c r="R23" s="1465"/>
      <c r="S23" s="1465"/>
      <c r="T23" s="1636">
        <f t="shared" si="1"/>
        <v>7.7294685990338161</v>
      </c>
      <c r="U23" s="1646"/>
    </row>
    <row r="24" spans="1:21" s="918" customFormat="1" ht="21" customHeight="1">
      <c r="A24" s="1314">
        <v>15</v>
      </c>
      <c r="B24" s="1370" t="s">
        <v>1190</v>
      </c>
      <c r="C24" s="1465">
        <v>28.56</v>
      </c>
      <c r="D24" s="1465">
        <f>G24</f>
        <v>28.56</v>
      </c>
      <c r="E24" s="1465"/>
      <c r="F24" s="1465"/>
      <c r="G24" s="1465">
        <v>28.56</v>
      </c>
      <c r="H24" s="1465"/>
      <c r="I24" s="1465"/>
      <c r="J24" s="1465"/>
      <c r="K24" s="1465"/>
      <c r="L24" s="1465"/>
      <c r="M24" s="1465"/>
      <c r="N24" s="1465"/>
      <c r="O24" s="1465"/>
      <c r="P24" s="1465"/>
      <c r="Q24" s="1465"/>
      <c r="R24" s="1465"/>
      <c r="S24" s="1465"/>
      <c r="T24" s="1636">
        <f t="shared" si="1"/>
        <v>100</v>
      </c>
      <c r="U24" s="1646"/>
    </row>
    <row r="25" spans="1:21" s="918" customFormat="1" ht="24" customHeight="1">
      <c r="A25" s="1314">
        <v>16</v>
      </c>
      <c r="B25" s="1466" t="s">
        <v>573</v>
      </c>
      <c r="C25" s="1465">
        <v>10</v>
      </c>
      <c r="D25" s="1465">
        <v>10</v>
      </c>
      <c r="E25" s="1465"/>
      <c r="F25" s="1465"/>
      <c r="G25" s="1465"/>
      <c r="H25" s="1465"/>
      <c r="I25" s="1465"/>
      <c r="J25" s="1465"/>
      <c r="K25" s="1465"/>
      <c r="L25" s="1465"/>
      <c r="M25" s="1465"/>
      <c r="N25" s="1465"/>
      <c r="O25" s="1465"/>
      <c r="P25" s="1465"/>
      <c r="Q25" s="1465"/>
      <c r="R25" s="1465"/>
      <c r="S25" s="1465">
        <v>10</v>
      </c>
      <c r="T25" s="1636">
        <f t="shared" si="1"/>
        <v>100</v>
      </c>
      <c r="U25" s="1646"/>
    </row>
    <row r="26" spans="1:21" s="918" customFormat="1" ht="24" customHeight="1">
      <c r="A26" s="1314">
        <v>17</v>
      </c>
      <c r="B26" s="1466" t="s">
        <v>1350</v>
      </c>
      <c r="C26" s="1465">
        <v>420</v>
      </c>
      <c r="D26" s="1465">
        <v>420</v>
      </c>
      <c r="E26" s="1465"/>
      <c r="F26" s="1465"/>
      <c r="G26" s="1465"/>
      <c r="H26" s="1465"/>
      <c r="I26" s="1465"/>
      <c r="J26" s="1465"/>
      <c r="K26" s="1465"/>
      <c r="L26" s="1465"/>
      <c r="M26" s="1465"/>
      <c r="N26" s="1465"/>
      <c r="O26" s="1465"/>
      <c r="P26" s="1465"/>
      <c r="Q26" s="1465"/>
      <c r="R26" s="1465">
        <v>420</v>
      </c>
      <c r="S26" s="1465"/>
      <c r="T26" s="1636">
        <f t="shared" si="1"/>
        <v>100</v>
      </c>
      <c r="U26" s="1646"/>
    </row>
    <row r="27" spans="1:21" s="1088" customFormat="1" ht="43.5" customHeight="1">
      <c r="A27" s="1464" t="s">
        <v>149</v>
      </c>
      <c r="B27" s="1467" t="s">
        <v>103</v>
      </c>
      <c r="C27" s="1634"/>
      <c r="D27" s="1634"/>
      <c r="E27" s="1637"/>
      <c r="F27" s="1637"/>
      <c r="G27" s="1637"/>
      <c r="H27" s="1637"/>
      <c r="I27" s="1637"/>
      <c r="J27" s="1637"/>
      <c r="K27" s="1637"/>
      <c r="L27" s="1637"/>
      <c r="M27" s="1637"/>
      <c r="N27" s="1637"/>
      <c r="O27" s="1637"/>
      <c r="P27" s="1637"/>
      <c r="Q27" s="1637"/>
      <c r="R27" s="1634"/>
      <c r="S27" s="1634"/>
      <c r="T27" s="1636"/>
      <c r="U27" s="1646"/>
    </row>
    <row r="28" spans="1:21" s="1088" customFormat="1" ht="43.5" customHeight="1">
      <c r="A28" s="1464" t="s">
        <v>64</v>
      </c>
      <c r="B28" s="353" t="s">
        <v>378</v>
      </c>
      <c r="C28" s="1634"/>
      <c r="D28" s="1648">
        <v>11664.487961000001</v>
      </c>
      <c r="E28" s="1637"/>
      <c r="F28" s="1637"/>
      <c r="G28" s="1637"/>
      <c r="H28" s="1637"/>
      <c r="I28" s="1637"/>
      <c r="J28" s="1637"/>
      <c r="K28" s="1637"/>
      <c r="L28" s="1637"/>
      <c r="M28" s="1637"/>
      <c r="N28" s="1637"/>
      <c r="O28" s="1637"/>
      <c r="P28" s="1637"/>
      <c r="Q28" s="1637"/>
      <c r="R28" s="1634"/>
      <c r="S28" s="1648">
        <v>11664.487961000001</v>
      </c>
      <c r="T28" s="1636"/>
      <c r="U28" s="1646"/>
    </row>
    <row r="29" spans="1:21" s="1088" customFormat="1" ht="30" customHeight="1">
      <c r="A29" s="1649" t="s">
        <v>65</v>
      </c>
      <c r="B29" s="1468" t="s">
        <v>13</v>
      </c>
      <c r="C29" s="1638"/>
      <c r="D29" s="1638">
        <v>776.47793000000001</v>
      </c>
      <c r="E29" s="1639"/>
      <c r="F29" s="1639"/>
      <c r="G29" s="1639"/>
      <c r="H29" s="1639"/>
      <c r="I29" s="1639"/>
      <c r="J29" s="1639"/>
      <c r="K29" s="1639"/>
      <c r="L29" s="1639"/>
      <c r="M29" s="1639"/>
      <c r="N29" s="1639"/>
      <c r="O29" s="1639"/>
      <c r="P29" s="1639"/>
      <c r="Q29" s="1639"/>
      <c r="R29" s="1638"/>
      <c r="S29" s="1638">
        <v>776.47793000000001</v>
      </c>
      <c r="T29" s="1640"/>
      <c r="U29" s="1646"/>
    </row>
    <row r="30" spans="1:21" ht="17.25" customHeight="1">
      <c r="O30" s="1667"/>
      <c r="P30" s="1667"/>
      <c r="Q30" s="1667"/>
      <c r="R30" s="1667"/>
      <c r="S30" s="1667"/>
      <c r="T30" s="1667"/>
    </row>
    <row r="31" spans="1:21" ht="17.25" customHeight="1">
      <c r="O31" s="1664"/>
      <c r="P31" s="1664"/>
      <c r="Q31" s="1664"/>
      <c r="R31" s="1664"/>
      <c r="S31" s="1664"/>
      <c r="T31" s="1664"/>
    </row>
    <row r="32" spans="1:21" ht="17.25" customHeight="1">
      <c r="O32" s="1664"/>
      <c r="P32" s="1664"/>
      <c r="Q32" s="1664"/>
      <c r="R32" s="1664"/>
      <c r="S32" s="1664"/>
      <c r="T32" s="1664"/>
    </row>
    <row r="33" spans="15:20" ht="17.25" customHeight="1">
      <c r="O33" s="1667"/>
      <c r="P33" s="1667"/>
      <c r="Q33" s="1667"/>
      <c r="R33" s="1667"/>
      <c r="S33" s="1667"/>
      <c r="T33" s="1667"/>
    </row>
    <row r="34" spans="15:20" ht="17.25" customHeight="1">
      <c r="Q34" s="29"/>
      <c r="R34" s="58"/>
      <c r="S34" s="58"/>
      <c r="T34" s="28"/>
    </row>
    <row r="35" spans="15:20" ht="17.25" customHeight="1">
      <c r="Q35" s="29"/>
      <c r="R35" s="58"/>
      <c r="S35" s="58"/>
      <c r="T35" s="28"/>
    </row>
    <row r="36" spans="15:20" ht="17.25" customHeight="1">
      <c r="Q36" s="29"/>
      <c r="R36" s="58"/>
      <c r="S36" s="58"/>
      <c r="T36" s="28"/>
    </row>
    <row r="37" spans="15:20" ht="17.25" customHeight="1">
      <c r="Q37" s="29"/>
      <c r="R37" s="58"/>
      <c r="S37" s="58"/>
      <c r="T37" s="28"/>
    </row>
    <row r="38" spans="15:20" ht="17.25" customHeight="1">
      <c r="Q38" s="29"/>
      <c r="R38" s="58"/>
      <c r="S38" s="58"/>
      <c r="T38" s="28"/>
    </row>
    <row r="39" spans="15:20" ht="17.25" customHeight="1">
      <c r="O39" s="1717"/>
      <c r="P39" s="1717"/>
      <c r="Q39" s="1717"/>
      <c r="R39" s="1717"/>
      <c r="S39" s="1717"/>
      <c r="T39" s="1717"/>
    </row>
    <row r="40" spans="15:20" ht="17.25" customHeight="1"/>
    <row r="41" spans="15:20" ht="17.25" customHeight="1"/>
    <row r="42" spans="15:20" ht="17.25" customHeight="1"/>
    <row r="43" spans="15:20" ht="17.25" customHeight="1"/>
    <row r="44" spans="15:20" ht="17.25" customHeight="1"/>
    <row r="45" spans="15:20" ht="18.75" customHeight="1"/>
    <row r="48" spans="15:20" ht="20.25" customHeight="1"/>
    <row r="50" ht="15.75" customHeight="1"/>
    <row r="51" ht="15" customHeight="1"/>
    <row r="52" ht="15" customHeight="1"/>
    <row r="53" ht="15" customHeight="1"/>
    <row r="54" ht="15.75" customHeight="1"/>
  </sheetData>
  <mergeCells count="29">
    <mergeCell ref="A3:T3"/>
    <mergeCell ref="O39:T39"/>
    <mergeCell ref="H5:H6"/>
    <mergeCell ref="K5:K6"/>
    <mergeCell ref="T5:T6"/>
    <mergeCell ref="L5:L6"/>
    <mergeCell ref="O5:P5"/>
    <mergeCell ref="Q5:Q6"/>
    <mergeCell ref="O30:T30"/>
    <mergeCell ref="O31:T31"/>
    <mergeCell ref="O32:T32"/>
    <mergeCell ref="O33:T33"/>
    <mergeCell ref="S5:S6"/>
    <mergeCell ref="S1:T1"/>
    <mergeCell ref="A1:C1"/>
    <mergeCell ref="R5:R6"/>
    <mergeCell ref="A2:T2"/>
    <mergeCell ref="A5:A6"/>
    <mergeCell ref="B5:B6"/>
    <mergeCell ref="C5:C6"/>
    <mergeCell ref="M5:M6"/>
    <mergeCell ref="N5:N6"/>
    <mergeCell ref="D5:D6"/>
    <mergeCell ref="E5:E6"/>
    <mergeCell ref="F5:F6"/>
    <mergeCell ref="G5:G6"/>
    <mergeCell ref="I5:I6"/>
    <mergeCell ref="J5:J6"/>
    <mergeCell ref="S4:T4"/>
  </mergeCells>
  <phoneticPr fontId="32" type="noConversion"/>
  <pageMargins left="0.24" right="0.17" top="0.87" bottom="0.21" header="0.3" footer="0.19"/>
  <pageSetup paperSize="8" firstPageNumber="157" orientation="landscape" useFirstPageNumber="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sheetPr>
  <dimension ref="A1:N38"/>
  <sheetViews>
    <sheetView zoomScale="110" zoomScaleNormal="110" workbookViewId="0">
      <pane xSplit="2" ySplit="6" topLeftCell="C28" activePane="bottomRight" state="frozen"/>
      <selection pane="topRight" activeCell="C1" sqref="C1"/>
      <selection pane="bottomLeft" activeCell="A6" sqref="A6"/>
      <selection pane="bottomRight" sqref="A1:C1"/>
    </sheetView>
  </sheetViews>
  <sheetFormatPr defaultColWidth="9.28515625" defaultRowHeight="15"/>
  <cols>
    <col min="1" max="1" width="6.7109375" style="396" customWidth="1"/>
    <col min="2" max="2" width="37.7109375" style="396" customWidth="1"/>
    <col min="3" max="3" width="18.28515625" style="849" customWidth="1"/>
    <col min="4" max="4" width="19" style="849" customWidth="1"/>
    <col min="5" max="5" width="18.5703125" style="849" customWidth="1"/>
    <col min="6" max="6" width="18" style="849" customWidth="1"/>
    <col min="7" max="7" width="16.28515625" style="849" customWidth="1"/>
    <col min="8" max="8" width="17.42578125" style="396" customWidth="1"/>
    <col min="9" max="9" width="16.85546875" style="396" customWidth="1"/>
    <col min="10" max="10" width="17.28515625" style="849" customWidth="1"/>
    <col min="11" max="11" width="17.28515625" style="396" customWidth="1"/>
    <col min="12" max="12" width="20.28515625" style="396" customWidth="1"/>
    <col min="13" max="13" width="17.28515625" style="1078" customWidth="1"/>
    <col min="14" max="14" width="14.42578125" style="1074" customWidth="1"/>
    <col min="15" max="15" width="13.28515625" style="396" customWidth="1"/>
    <col min="16" max="16384" width="9.28515625" style="396"/>
  </cols>
  <sheetData>
    <row r="1" spans="1:14" ht="25.5" customHeight="1">
      <c r="A1" s="1679" t="s">
        <v>720</v>
      </c>
      <c r="B1" s="1679"/>
      <c r="C1" s="1679"/>
      <c r="H1" s="1054"/>
      <c r="J1" s="1719" t="s">
        <v>1194</v>
      </c>
      <c r="K1" s="1719"/>
      <c r="L1" s="1055"/>
      <c r="M1" s="1056"/>
      <c r="N1" s="396"/>
    </row>
    <row r="2" spans="1:14" ht="28.5" customHeight="1">
      <c r="A2" s="1664" t="s">
        <v>1342</v>
      </c>
      <c r="B2" s="1664"/>
      <c r="C2" s="1664"/>
      <c r="D2" s="1664"/>
      <c r="E2" s="1664"/>
      <c r="F2" s="1664"/>
      <c r="G2" s="1664"/>
      <c r="H2" s="1664"/>
      <c r="I2" s="1664"/>
      <c r="J2" s="1664"/>
      <c r="K2" s="1664"/>
      <c r="L2" s="1027"/>
      <c r="M2" s="1057"/>
      <c r="N2" s="396"/>
    </row>
    <row r="3" spans="1:14" s="1549" customFormat="1" ht="28.5" customHeight="1">
      <c r="A3" s="1667" t="str">
        <f>'48.QTCĐNSĐP'!A3:F3</f>
        <v>(Kèm theo Quyết định số      /QĐ-UBND ngày 15/04/2026 nhân dân xã Trần Phú)</v>
      </c>
      <c r="B3" s="1667"/>
      <c r="C3" s="1667"/>
      <c r="D3" s="1667"/>
      <c r="E3" s="1667"/>
      <c r="F3" s="1667"/>
      <c r="G3" s="1667"/>
      <c r="H3" s="1667"/>
      <c r="I3" s="1667"/>
      <c r="J3" s="1667"/>
      <c r="K3" s="1667"/>
      <c r="L3" s="1548"/>
      <c r="M3" s="1057"/>
    </row>
    <row r="4" spans="1:14" ht="15.75">
      <c r="B4" s="1058"/>
      <c r="C4" s="1059"/>
      <c r="D4" s="1059"/>
      <c r="E4" s="1059"/>
      <c r="F4" s="1060"/>
      <c r="G4" s="1059"/>
      <c r="H4" s="1054"/>
      <c r="I4" s="1058"/>
      <c r="J4" s="1721" t="s">
        <v>312</v>
      </c>
      <c r="K4" s="1721"/>
      <c r="L4" s="401"/>
      <c r="M4" s="1061"/>
      <c r="N4" s="396"/>
    </row>
    <row r="5" spans="1:14" ht="18" customHeight="1">
      <c r="A5" s="1665" t="s">
        <v>313</v>
      </c>
      <c r="B5" s="1665" t="s">
        <v>253</v>
      </c>
      <c r="C5" s="1720" t="s">
        <v>132</v>
      </c>
      <c r="D5" s="1720" t="s">
        <v>153</v>
      </c>
      <c r="E5" s="1720"/>
      <c r="F5" s="1720"/>
      <c r="G5" s="1720" t="s">
        <v>1038</v>
      </c>
      <c r="H5" s="1720" t="s">
        <v>473</v>
      </c>
      <c r="I5" s="1665" t="s">
        <v>474</v>
      </c>
      <c r="J5" s="1665" t="s">
        <v>248</v>
      </c>
      <c r="K5" s="1665"/>
      <c r="L5" s="1027"/>
      <c r="M5" s="1056"/>
      <c r="N5" s="396"/>
    </row>
    <row r="6" spans="1:14" ht="84" customHeight="1">
      <c r="A6" s="1665"/>
      <c r="B6" s="1665"/>
      <c r="C6" s="1720"/>
      <c r="D6" s="91" t="s">
        <v>58</v>
      </c>
      <c r="E6" s="91" t="s">
        <v>475</v>
      </c>
      <c r="F6" s="91" t="s">
        <v>566</v>
      </c>
      <c r="G6" s="1720"/>
      <c r="H6" s="1720"/>
      <c r="I6" s="1665"/>
      <c r="J6" s="91" t="s">
        <v>410</v>
      </c>
      <c r="K6" s="86" t="s">
        <v>411</v>
      </c>
      <c r="L6" s="1062"/>
      <c r="M6" s="837"/>
      <c r="N6" s="396"/>
    </row>
    <row r="7" spans="1:14" s="1066" customFormat="1" ht="23.25" customHeight="1">
      <c r="A7" s="806" t="s">
        <v>316</v>
      </c>
      <c r="B7" s="806" t="s">
        <v>317</v>
      </c>
      <c r="C7" s="1063" t="s">
        <v>408</v>
      </c>
      <c r="D7" s="1063">
        <v>2</v>
      </c>
      <c r="E7" s="1063">
        <v>3</v>
      </c>
      <c r="F7" s="1063">
        <v>4</v>
      </c>
      <c r="G7" s="1063">
        <v>5</v>
      </c>
      <c r="H7" s="806">
        <v>6</v>
      </c>
      <c r="I7" s="806" t="s">
        <v>59</v>
      </c>
      <c r="J7" s="1063">
        <v>8</v>
      </c>
      <c r="K7" s="806">
        <v>9</v>
      </c>
      <c r="L7" s="1064"/>
      <c r="M7" s="1065"/>
    </row>
    <row r="8" spans="1:14" ht="27" customHeight="1">
      <c r="A8" s="1067"/>
      <c r="B8" s="1067" t="s">
        <v>472</v>
      </c>
      <c r="C8" s="1068">
        <f>C9+C27+C28+C29</f>
        <v>111672.64324299998</v>
      </c>
      <c r="D8" s="1068">
        <f t="shared" ref="D8:K8" si="0">D9+D27+D28+D29</f>
        <v>4022.2013110000003</v>
      </c>
      <c r="E8" s="1068">
        <f t="shared" si="0"/>
        <v>77432.962943000006</v>
      </c>
      <c r="F8" s="1068">
        <f t="shared" si="0"/>
        <v>23609.177875999994</v>
      </c>
      <c r="G8" s="1068"/>
      <c r="H8" s="1068">
        <f t="shared" si="0"/>
        <v>105598.941811</v>
      </c>
      <c r="I8" s="1068">
        <f t="shared" si="0"/>
        <v>6898.6171619999996</v>
      </c>
      <c r="J8" s="1068">
        <f t="shared" si="0"/>
        <v>11664.487961000001</v>
      </c>
      <c r="K8" s="1068">
        <f t="shared" si="0"/>
        <v>6742.1701130000001</v>
      </c>
      <c r="L8" s="1056"/>
      <c r="M8" s="837"/>
      <c r="N8" s="396"/>
    </row>
    <row r="9" spans="1:14" ht="24" customHeight="1">
      <c r="A9" s="864" t="s">
        <v>318</v>
      </c>
      <c r="B9" s="865" t="s">
        <v>113</v>
      </c>
      <c r="C9" s="1069">
        <f>SUM(C10:C26)</f>
        <v>111672.64324299998</v>
      </c>
      <c r="D9" s="1069">
        <f t="shared" ref="D9:F9" si="1">SUM(D10:D26)</f>
        <v>4022.2013110000003</v>
      </c>
      <c r="E9" s="1069">
        <f t="shared" si="1"/>
        <v>77432.962943000006</v>
      </c>
      <c r="F9" s="1069">
        <f t="shared" si="1"/>
        <v>23609.177875999994</v>
      </c>
      <c r="G9" s="1069"/>
      <c r="H9" s="1070">
        <f t="shared" ref="H9:K9" si="2">SUM(H10:H26)</f>
        <v>104822.463881</v>
      </c>
      <c r="I9" s="1070">
        <f t="shared" si="2"/>
        <v>6898.6171619999996</v>
      </c>
      <c r="J9" s="1069">
        <f t="shared" si="2"/>
        <v>158.94704899999999</v>
      </c>
      <c r="K9" s="1070">
        <f t="shared" si="2"/>
        <v>6742.1701130000001</v>
      </c>
      <c r="L9" s="1056"/>
      <c r="M9" s="837"/>
      <c r="N9" s="396"/>
    </row>
    <row r="10" spans="1:14" ht="41.25" customHeight="1">
      <c r="A10" s="836">
        <v>1</v>
      </c>
      <c r="B10" s="866" t="s">
        <v>1199</v>
      </c>
      <c r="C10" s="1071">
        <f>+D10+E10+F10</f>
        <v>26649.445084999999</v>
      </c>
      <c r="D10" s="1071">
        <v>3.7</v>
      </c>
      <c r="E10" s="1071">
        <v>15621.068272</v>
      </c>
      <c r="F10" s="1071">
        <v>11024.676813</v>
      </c>
      <c r="G10" s="1071"/>
      <c r="H10" s="1072">
        <v>24410.014924999999</v>
      </c>
      <c r="I10" s="1072">
        <v>2287.86816</v>
      </c>
      <c r="J10" s="1071">
        <f>21.5912</f>
        <v>21.591200000000001</v>
      </c>
      <c r="K10" s="1072">
        <f>I10-J10</f>
        <v>2266.2769600000001</v>
      </c>
      <c r="L10" s="837"/>
      <c r="M10" s="837"/>
      <c r="N10" s="396"/>
    </row>
    <row r="11" spans="1:14" ht="41.25" customHeight="1">
      <c r="A11" s="836">
        <v>2</v>
      </c>
      <c r="B11" s="866" t="s">
        <v>1161</v>
      </c>
      <c r="C11" s="1071">
        <v>20448.130023999998</v>
      </c>
      <c r="D11" s="1071">
        <v>3203.567935</v>
      </c>
      <c r="E11" s="1071">
        <v>10421.572643</v>
      </c>
      <c r="F11" s="1071">
        <v>6822.9894459999996</v>
      </c>
      <c r="G11" s="1071"/>
      <c r="H11" s="1072">
        <v>17644.467199999999</v>
      </c>
      <c r="I11" s="1072">
        <v>2803.662824</v>
      </c>
      <c r="J11" s="1071"/>
      <c r="K11" s="1072">
        <f>I11</f>
        <v>2803.662824</v>
      </c>
      <c r="L11" s="837"/>
      <c r="M11" s="837"/>
      <c r="N11" s="396"/>
    </row>
    <row r="12" spans="1:14" ht="41.25" customHeight="1">
      <c r="A12" s="836">
        <v>3</v>
      </c>
      <c r="B12" s="866" t="s">
        <v>1162</v>
      </c>
      <c r="C12" s="1071">
        <v>7087.7162040000003</v>
      </c>
      <c r="D12" s="1071">
        <v>126.64060000000001</v>
      </c>
      <c r="E12" s="1071">
        <v>5723.0286040000001</v>
      </c>
      <c r="F12" s="1071">
        <v>1328.047</v>
      </c>
      <c r="G12" s="1071"/>
      <c r="H12" s="1072">
        <v>6329.3076110000002</v>
      </c>
      <c r="I12" s="1072">
        <v>758.408593</v>
      </c>
      <c r="J12" s="1071">
        <v>2.5</v>
      </c>
      <c r="K12" s="1072">
        <f>I12</f>
        <v>758.408593</v>
      </c>
      <c r="L12" s="837"/>
      <c r="M12" s="837"/>
      <c r="N12" s="396"/>
    </row>
    <row r="13" spans="1:14" ht="41.25" customHeight="1">
      <c r="A13" s="836">
        <v>4</v>
      </c>
      <c r="B13" s="866" t="s">
        <v>1200</v>
      </c>
      <c r="C13" s="1071">
        <v>2328.9117970000002</v>
      </c>
      <c r="D13" s="1071"/>
      <c r="E13" s="1071">
        <v>938.30879700000003</v>
      </c>
      <c r="F13" s="1071">
        <v>1390.6030000000001</v>
      </c>
      <c r="G13" s="1071"/>
      <c r="H13" s="1072">
        <v>2255.4173850000002</v>
      </c>
      <c r="I13" s="1072">
        <v>73.494212000000005</v>
      </c>
      <c r="J13" s="1071">
        <v>68.697720000000004</v>
      </c>
      <c r="K13" s="1072">
        <f>I13-J13</f>
        <v>4.7964920000000006</v>
      </c>
      <c r="L13" s="837"/>
      <c r="M13" s="837"/>
      <c r="N13" s="396"/>
    </row>
    <row r="14" spans="1:14" ht="41.25" customHeight="1">
      <c r="A14" s="836">
        <v>5</v>
      </c>
      <c r="B14" s="866" t="s">
        <v>1198</v>
      </c>
      <c r="C14" s="1071">
        <v>6698.3011130000004</v>
      </c>
      <c r="D14" s="1071"/>
      <c r="E14" s="1071"/>
      <c r="F14" s="1071"/>
      <c r="G14" s="1071"/>
      <c r="H14" s="1072">
        <v>6308.4526130000004</v>
      </c>
      <c r="I14" s="1072">
        <v>389.8485</v>
      </c>
      <c r="J14" s="1071"/>
      <c r="K14" s="1072">
        <f>I14</f>
        <v>389.8485</v>
      </c>
      <c r="L14" s="837"/>
      <c r="M14" s="837"/>
      <c r="N14" s="396"/>
    </row>
    <row r="15" spans="1:14" ht="41.25" customHeight="1">
      <c r="A15" s="845">
        <v>6</v>
      </c>
      <c r="B15" s="1073" t="s">
        <v>1201</v>
      </c>
      <c r="C15" s="1071">
        <v>3117.406915</v>
      </c>
      <c r="D15" s="1071">
        <v>124.551536</v>
      </c>
      <c r="E15" s="1071">
        <v>1850.086804</v>
      </c>
      <c r="F15" s="1071">
        <v>1142.7685750000001</v>
      </c>
      <c r="G15" s="1071"/>
      <c r="H15" s="1071">
        <v>3097.406915</v>
      </c>
      <c r="I15" s="1071">
        <v>20</v>
      </c>
      <c r="J15" s="1071"/>
      <c r="K15" s="1071">
        <f>I15</f>
        <v>20</v>
      </c>
      <c r="L15" s="837"/>
      <c r="M15" s="837"/>
      <c r="N15" s="396"/>
    </row>
    <row r="16" spans="1:14" ht="41.25" customHeight="1">
      <c r="A16" s="845">
        <v>7</v>
      </c>
      <c r="B16" s="1073" t="s">
        <v>1202</v>
      </c>
      <c r="C16" s="1565">
        <v>4869.7452929999999</v>
      </c>
      <c r="D16" s="1565">
        <v>58.458627</v>
      </c>
      <c r="E16" s="1565">
        <v>4563.2242999999999</v>
      </c>
      <c r="F16" s="1565">
        <v>248.062366</v>
      </c>
      <c r="G16" s="1566" t="s">
        <v>1210</v>
      </c>
      <c r="H16" s="1565">
        <v>4820.7740309999999</v>
      </c>
      <c r="I16" s="1565">
        <v>48.971262000000003</v>
      </c>
      <c r="J16" s="1071">
        <v>2.7566660000000001</v>
      </c>
      <c r="K16" s="1071">
        <f>I16-J16</f>
        <v>46.214596</v>
      </c>
      <c r="L16" s="837"/>
      <c r="M16" s="837"/>
      <c r="N16" s="396"/>
    </row>
    <row r="17" spans="1:14" ht="41.25" customHeight="1">
      <c r="A17" s="836">
        <v>8</v>
      </c>
      <c r="B17" s="866" t="s">
        <v>1203</v>
      </c>
      <c r="C17" s="1565">
        <v>3125.5982220000001</v>
      </c>
      <c r="D17" s="1565">
        <v>0</v>
      </c>
      <c r="E17" s="1565">
        <v>2980.0023000000001</v>
      </c>
      <c r="F17" s="1565">
        <v>145.595922</v>
      </c>
      <c r="G17" s="1566" t="s">
        <v>1210</v>
      </c>
      <c r="H17" s="1565">
        <v>3093.448222</v>
      </c>
      <c r="I17" s="1565">
        <v>32.15</v>
      </c>
      <c r="J17" s="1071"/>
      <c r="K17" s="1072">
        <f>I17</f>
        <v>32.15</v>
      </c>
      <c r="L17" s="837"/>
      <c r="M17" s="837"/>
      <c r="N17" s="396"/>
    </row>
    <row r="18" spans="1:14" ht="41.25" customHeight="1">
      <c r="A18" s="845">
        <v>9</v>
      </c>
      <c r="B18" s="1073" t="s">
        <v>1204</v>
      </c>
      <c r="C18" s="1565">
        <v>7030.365307</v>
      </c>
      <c r="D18" s="1565">
        <v>0</v>
      </c>
      <c r="E18" s="1565">
        <v>6888.7241510000003</v>
      </c>
      <c r="F18" s="1565">
        <v>141.641156</v>
      </c>
      <c r="G18" s="1566" t="s">
        <v>1210</v>
      </c>
      <c r="H18" s="1565">
        <v>7011.8913069999999</v>
      </c>
      <c r="I18" s="1565">
        <v>18.474</v>
      </c>
      <c r="J18" s="1071"/>
      <c r="K18" s="1071">
        <f>I18</f>
        <v>18.474</v>
      </c>
      <c r="L18" s="837"/>
      <c r="M18" s="837"/>
      <c r="N18" s="396"/>
    </row>
    <row r="19" spans="1:14" ht="41.25" customHeight="1">
      <c r="A19" s="845">
        <v>10</v>
      </c>
      <c r="B19" s="1073" t="s">
        <v>1205</v>
      </c>
      <c r="C19" s="1565">
        <v>10921.247584999999</v>
      </c>
      <c r="D19" s="1565">
        <v>74.999604000000005</v>
      </c>
      <c r="E19" s="1565">
        <v>10438.230855</v>
      </c>
      <c r="F19" s="1565">
        <v>408.01712600000002</v>
      </c>
      <c r="G19" s="1566" t="s">
        <v>1210</v>
      </c>
      <c r="H19" s="1565">
        <v>10721.105974</v>
      </c>
      <c r="I19" s="1565">
        <v>200.14161100000001</v>
      </c>
      <c r="J19" s="1071">
        <v>63.401463</v>
      </c>
      <c r="K19" s="1071">
        <f>I19-J19</f>
        <v>136.740148</v>
      </c>
      <c r="L19" s="837"/>
      <c r="M19" s="837"/>
      <c r="N19" s="396"/>
    </row>
    <row r="20" spans="1:14" ht="41.25" customHeight="1">
      <c r="A20" s="845">
        <v>11</v>
      </c>
      <c r="B20" s="1073" t="s">
        <v>1206</v>
      </c>
      <c r="C20" s="1565">
        <v>6287.6122679999999</v>
      </c>
      <c r="D20" s="1565">
        <v>0</v>
      </c>
      <c r="E20" s="1565">
        <v>5854.8458250000003</v>
      </c>
      <c r="F20" s="1565">
        <v>432.76644299999998</v>
      </c>
      <c r="G20" s="1566" t="s">
        <v>1210</v>
      </c>
      <c r="H20" s="1565">
        <v>6195.2102679999998</v>
      </c>
      <c r="I20" s="1565">
        <v>92.402000000000001</v>
      </c>
      <c r="J20" s="1071"/>
      <c r="K20" s="1071">
        <f>I20</f>
        <v>92.402000000000001</v>
      </c>
      <c r="L20" s="837"/>
      <c r="M20" s="837"/>
      <c r="N20" s="396"/>
    </row>
    <row r="21" spans="1:14" ht="41.25" customHeight="1">
      <c r="A21" s="836">
        <v>12</v>
      </c>
      <c r="B21" s="866" t="s">
        <v>1207</v>
      </c>
      <c r="C21" s="1565">
        <v>7399.2867900000001</v>
      </c>
      <c r="D21" s="1565">
        <v>7.4292809999999996</v>
      </c>
      <c r="E21" s="1565">
        <v>7035.0153920000002</v>
      </c>
      <c r="F21" s="1565">
        <v>356.84211699999997</v>
      </c>
      <c r="G21" s="1566" t="s">
        <v>1210</v>
      </c>
      <c r="H21" s="1565">
        <v>7349.9307900000003</v>
      </c>
      <c r="I21" s="1565">
        <v>49.356000000000002</v>
      </c>
      <c r="J21" s="1071"/>
      <c r="K21" s="1072">
        <f>I21</f>
        <v>49.356000000000002</v>
      </c>
      <c r="L21" s="837"/>
      <c r="M21" s="837"/>
      <c r="N21" s="396"/>
    </row>
    <row r="22" spans="1:14" ht="41.25" customHeight="1">
      <c r="A22" s="836">
        <v>13</v>
      </c>
      <c r="B22" s="866" t="s">
        <v>1208</v>
      </c>
      <c r="C22" s="1565">
        <v>5201.8786399999999</v>
      </c>
      <c r="D22" s="1565">
        <v>2.8537279999999998</v>
      </c>
      <c r="E22" s="1565">
        <v>5118.8549999999996</v>
      </c>
      <c r="F22" s="1565">
        <v>80.169911999999997</v>
      </c>
      <c r="G22" s="1566" t="s">
        <v>1210</v>
      </c>
      <c r="H22" s="1565">
        <v>5122.7326400000002</v>
      </c>
      <c r="I22" s="1565">
        <v>79.146000000000001</v>
      </c>
      <c r="J22" s="1071"/>
      <c r="K22" s="1072">
        <f>I22</f>
        <v>79.146000000000001</v>
      </c>
      <c r="L22" s="837"/>
      <c r="M22" s="837"/>
      <c r="N22" s="396"/>
    </row>
    <row r="23" spans="1:14" ht="41.25" customHeight="1">
      <c r="A23" s="845">
        <v>14</v>
      </c>
      <c r="B23" s="1073" t="s">
        <v>1209</v>
      </c>
      <c r="C23" s="1071">
        <v>48.438000000000002</v>
      </c>
      <c r="D23" s="1071"/>
      <c r="E23" s="1071"/>
      <c r="F23" s="1071">
        <v>48.438000000000002</v>
      </c>
      <c r="G23" s="1071"/>
      <c r="H23" s="1071">
        <v>3.7440000000000002</v>
      </c>
      <c r="I23" s="1071">
        <v>44.694000000000003</v>
      </c>
      <c r="J23" s="1071"/>
      <c r="K23" s="1071">
        <f>I23</f>
        <v>44.694000000000003</v>
      </c>
      <c r="L23" s="837"/>
      <c r="M23" s="837"/>
      <c r="N23" s="396"/>
    </row>
    <row r="24" spans="1:14" ht="41.25" customHeight="1">
      <c r="A24" s="836">
        <v>15</v>
      </c>
      <c r="B24" s="866" t="s">
        <v>1211</v>
      </c>
      <c r="C24" s="1071">
        <v>28.56</v>
      </c>
      <c r="D24" s="1071"/>
      <c r="E24" s="1071"/>
      <c r="F24" s="1071">
        <v>28.56</v>
      </c>
      <c r="G24" s="1071"/>
      <c r="H24" s="1071">
        <v>28.56</v>
      </c>
      <c r="I24" s="1072"/>
      <c r="J24" s="1071"/>
      <c r="K24" s="1072"/>
      <c r="L24" s="837"/>
      <c r="M24" s="837"/>
      <c r="N24" s="396"/>
    </row>
    <row r="25" spans="1:14" ht="41.25" customHeight="1">
      <c r="A25" s="836">
        <v>16</v>
      </c>
      <c r="B25" s="866" t="s">
        <v>1212</v>
      </c>
      <c r="C25" s="1071">
        <v>10</v>
      </c>
      <c r="D25" s="1071"/>
      <c r="E25" s="1071"/>
      <c r="F25" s="1071">
        <v>10</v>
      </c>
      <c r="G25" s="1071"/>
      <c r="H25" s="1072">
        <v>10</v>
      </c>
      <c r="I25" s="1072"/>
      <c r="J25" s="1071"/>
      <c r="K25" s="1072"/>
      <c r="L25" s="1058"/>
      <c r="M25" s="837"/>
      <c r="N25" s="396"/>
    </row>
    <row r="26" spans="1:14" ht="41.25" customHeight="1">
      <c r="A26" s="836">
        <v>17</v>
      </c>
      <c r="B26" s="866" t="s">
        <v>1350</v>
      </c>
      <c r="C26" s="1071">
        <v>420</v>
      </c>
      <c r="D26" s="1071">
        <v>420</v>
      </c>
      <c r="E26" s="1071"/>
      <c r="F26" s="1071"/>
      <c r="G26" s="1071"/>
      <c r="H26" s="1072">
        <v>420</v>
      </c>
      <c r="I26" s="1072"/>
      <c r="J26" s="1071"/>
      <c r="K26" s="1072"/>
      <c r="L26" s="837"/>
      <c r="M26" s="837"/>
      <c r="N26" s="396"/>
    </row>
    <row r="27" spans="1:14" s="1461" customFormat="1" ht="35.25" customHeight="1">
      <c r="A27" s="864" t="s">
        <v>149</v>
      </c>
      <c r="B27" s="1470" t="s">
        <v>103</v>
      </c>
      <c r="C27" s="97"/>
      <c r="D27" s="97"/>
      <c r="E27" s="97"/>
      <c r="F27" s="97"/>
      <c r="G27" s="1567"/>
      <c r="H27" s="1568"/>
      <c r="I27" s="1568"/>
      <c r="J27" s="1070"/>
      <c r="K27" s="1567"/>
      <c r="L27" s="1460"/>
      <c r="M27" s="1075"/>
      <c r="N27" s="1074"/>
    </row>
    <row r="28" spans="1:14" s="1461" customFormat="1" ht="35.25" customHeight="1">
      <c r="A28" s="864" t="s">
        <v>64</v>
      </c>
      <c r="B28" s="1471" t="s">
        <v>378</v>
      </c>
      <c r="C28" s="97"/>
      <c r="D28" s="97"/>
      <c r="E28" s="97"/>
      <c r="F28" s="1569"/>
      <c r="G28" s="1471"/>
      <c r="H28" s="1570"/>
      <c r="I28" s="1570"/>
      <c r="J28" s="1070">
        <f>11664.487961-J9</f>
        <v>11505.540912</v>
      </c>
      <c r="K28" s="1471"/>
      <c r="L28" s="1459"/>
      <c r="M28" s="1057"/>
      <c r="N28" s="1074"/>
    </row>
    <row r="29" spans="1:14" s="1461" customFormat="1" ht="35.25" customHeight="1">
      <c r="A29" s="1472" t="s">
        <v>65</v>
      </c>
      <c r="B29" s="1473" t="s">
        <v>13</v>
      </c>
      <c r="C29" s="191"/>
      <c r="D29" s="191"/>
      <c r="E29" s="191"/>
      <c r="F29" s="191"/>
      <c r="G29" s="1473"/>
      <c r="H29" s="1469">
        <v>776.47793000000001</v>
      </c>
      <c r="I29" s="1571"/>
      <c r="J29" s="1571"/>
      <c r="K29" s="1473"/>
      <c r="L29" s="1459"/>
      <c r="M29" s="1057"/>
      <c r="N29" s="1074"/>
    </row>
    <row r="30" spans="1:14" ht="15.75">
      <c r="G30" s="1667"/>
      <c r="H30" s="1667"/>
      <c r="I30" s="1667"/>
      <c r="J30" s="1667"/>
      <c r="K30" s="1667"/>
      <c r="L30" s="401"/>
      <c r="M30" s="1061"/>
    </row>
    <row r="31" spans="1:14">
      <c r="I31" s="1076"/>
      <c r="J31" s="1077"/>
      <c r="K31" s="1078"/>
      <c r="L31" s="1078"/>
    </row>
    <row r="32" spans="1:14">
      <c r="I32" s="1076"/>
      <c r="J32" s="1077"/>
      <c r="K32" s="1078"/>
      <c r="L32" s="1078"/>
    </row>
    <row r="33" spans="7:14">
      <c r="I33" s="1076"/>
      <c r="J33" s="1077"/>
      <c r="K33" s="1078"/>
      <c r="L33" s="1078"/>
    </row>
    <row r="34" spans="7:14">
      <c r="I34" s="1076"/>
      <c r="J34" s="1077"/>
      <c r="K34" s="1078"/>
      <c r="L34" s="1078"/>
    </row>
    <row r="35" spans="7:14">
      <c r="I35" s="1076"/>
      <c r="J35" s="1077"/>
      <c r="K35" s="1078"/>
      <c r="L35" s="1078"/>
    </row>
    <row r="36" spans="7:14">
      <c r="I36" s="1076"/>
      <c r="J36" s="1077"/>
      <c r="K36" s="1078"/>
      <c r="L36" s="1078"/>
    </row>
    <row r="37" spans="7:14">
      <c r="I37" s="1076"/>
      <c r="J37" s="1077"/>
      <c r="K37" s="1078"/>
      <c r="L37" s="1078"/>
    </row>
    <row r="38" spans="7:14" ht="18.75">
      <c r="G38" s="1670"/>
      <c r="H38" s="1670"/>
      <c r="I38" s="1670"/>
      <c r="J38" s="1670"/>
      <c r="K38" s="1670"/>
      <c r="L38" s="402"/>
      <c r="M38" s="1079"/>
      <c r="N38" s="396"/>
    </row>
  </sheetData>
  <mergeCells count="15">
    <mergeCell ref="G30:K30"/>
    <mergeCell ref="G38:K38"/>
    <mergeCell ref="J1:K1"/>
    <mergeCell ref="A2:K2"/>
    <mergeCell ref="A5:A6"/>
    <mergeCell ref="B5:B6"/>
    <mergeCell ref="C5:C6"/>
    <mergeCell ref="H5:H6"/>
    <mergeCell ref="I5:I6"/>
    <mergeCell ref="J5:K5"/>
    <mergeCell ref="G5:G6"/>
    <mergeCell ref="D5:F5"/>
    <mergeCell ref="A1:C1"/>
    <mergeCell ref="J4:K4"/>
    <mergeCell ref="A3:K3"/>
  </mergeCells>
  <phoneticPr fontId="32" type="noConversion"/>
  <pageMargins left="0.43" right="0.2" top="0.93" bottom="0.23" header="0.3" footer="0.19"/>
  <pageSetup paperSize="8" firstPageNumber="157" orientation="landscape" useFirstPageNumber="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X57"/>
  <sheetViews>
    <sheetView zoomScale="130" zoomScaleNormal="130" workbookViewId="0">
      <pane xSplit="3" ySplit="7" topLeftCell="H8" activePane="bottomRight" state="frozen"/>
      <selection pane="topRight" activeCell="D1" sqref="D1"/>
      <selection pane="bottomLeft" activeCell="A8" sqref="A8"/>
      <selection pane="bottomRight" sqref="A1:C1"/>
    </sheetView>
  </sheetViews>
  <sheetFormatPr defaultColWidth="9.28515625" defaultRowHeight="15"/>
  <cols>
    <col min="1" max="1" width="4.28515625" style="380" customWidth="1"/>
    <col min="2" max="2" width="10.7109375" style="33" customWidth="1"/>
    <col min="3" max="3" width="11" style="33" customWidth="1"/>
    <col min="4" max="4" width="14.28515625" style="205" customWidth="1"/>
    <col min="5" max="5" width="12.42578125" style="205" customWidth="1"/>
    <col min="6" max="6" width="11.7109375" style="338" customWidth="1"/>
    <col min="7" max="7" width="11.7109375" style="28" customWidth="1"/>
    <col min="8" max="8" width="11.42578125" style="28" customWidth="1"/>
    <col min="9" max="9" width="11.7109375" style="28" customWidth="1"/>
    <col min="10" max="10" width="10.5703125" style="28" customWidth="1"/>
    <col min="11" max="11" width="6" style="28" customWidth="1"/>
    <col min="12" max="12" width="10.7109375" style="391" customWidth="1"/>
    <col min="13" max="13" width="5.7109375" style="28" customWidth="1"/>
    <col min="14" max="14" width="11.5703125" style="28" customWidth="1"/>
    <col min="15" max="15" width="11" style="58" customWidth="1"/>
    <col min="16" max="16" width="11.5703125" style="58" customWidth="1"/>
    <col min="17" max="17" width="10.28515625" style="58" customWidth="1"/>
    <col min="18" max="18" width="11.28515625" style="391" customWidth="1"/>
    <col min="19" max="19" width="5.7109375" style="54" customWidth="1"/>
    <col min="20" max="20" width="6.28515625" style="26" customWidth="1"/>
    <col min="21" max="21" width="6" style="54" customWidth="1"/>
    <col min="22" max="22" width="5.7109375" style="33" customWidth="1"/>
    <col min="23" max="23" width="20" style="33" customWidth="1"/>
    <col min="24" max="24" width="9.7109375" style="33" bestFit="1" customWidth="1"/>
    <col min="25" max="16384" width="9.28515625" style="33"/>
  </cols>
  <sheetData>
    <row r="1" spans="1:24" ht="15.75">
      <c r="A1" s="1679" t="s">
        <v>720</v>
      </c>
      <c r="B1" s="1679"/>
      <c r="C1" s="1679"/>
      <c r="F1" s="878"/>
      <c r="H1" s="79"/>
      <c r="I1" s="879"/>
      <c r="J1" s="1722"/>
      <c r="K1" s="1722"/>
      <c r="S1" s="1671" t="s">
        <v>1195</v>
      </c>
      <c r="T1" s="1671"/>
      <c r="U1" s="1671"/>
      <c r="V1" s="1671"/>
    </row>
    <row r="2" spans="1:24" ht="27" customHeight="1">
      <c r="A2" s="1672" t="s">
        <v>1167</v>
      </c>
      <c r="B2" s="1672"/>
      <c r="C2" s="1672"/>
      <c r="D2" s="1672"/>
      <c r="E2" s="1672"/>
      <c r="F2" s="1672"/>
      <c r="G2" s="1672"/>
      <c r="H2" s="1672"/>
      <c r="I2" s="1672"/>
      <c r="J2" s="1672"/>
      <c r="K2" s="1672"/>
      <c r="L2" s="1672"/>
      <c r="M2" s="1672"/>
      <c r="N2" s="1672"/>
      <c r="O2" s="1672"/>
      <c r="P2" s="1672"/>
      <c r="Q2" s="1672"/>
      <c r="R2" s="1672"/>
      <c r="S2" s="1672"/>
      <c r="T2" s="1672"/>
      <c r="U2" s="1672"/>
    </row>
    <row r="3" spans="1:24" ht="27" customHeight="1">
      <c r="A3" s="1676" t="str">
        <f>'57'!A3:K3</f>
        <v>(Kèm theo Quyết định số      /QĐ-UBND ngày 15/04/2026 nhân dân xã Trần Phú)</v>
      </c>
      <c r="B3" s="1676"/>
      <c r="C3" s="1676"/>
      <c r="D3" s="1676"/>
      <c r="E3" s="1676"/>
      <c r="F3" s="1676"/>
      <c r="G3" s="1676"/>
      <c r="H3" s="1676"/>
      <c r="I3" s="1676"/>
      <c r="J3" s="1676"/>
      <c r="K3" s="1676"/>
      <c r="L3" s="1676"/>
      <c r="M3" s="1676"/>
      <c r="N3" s="1676"/>
      <c r="O3" s="1676"/>
      <c r="P3" s="1676"/>
      <c r="Q3" s="1676"/>
      <c r="R3" s="1676"/>
      <c r="S3" s="1676"/>
      <c r="T3" s="1676"/>
      <c r="U3" s="1676"/>
      <c r="V3" s="1676"/>
    </row>
    <row r="4" spans="1:24" ht="16.5" customHeight="1">
      <c r="C4" s="381"/>
      <c r="D4" s="1723"/>
      <c r="E4" s="1723"/>
      <c r="F4" s="1723"/>
      <c r="G4" s="58"/>
      <c r="H4" s="58"/>
      <c r="I4" s="880"/>
      <c r="J4" s="880"/>
      <c r="K4" s="1724"/>
      <c r="L4" s="1724"/>
      <c r="M4" s="881"/>
      <c r="N4" s="29"/>
      <c r="O4" s="1725"/>
      <c r="P4" s="1725"/>
      <c r="U4" s="216" t="s">
        <v>312</v>
      </c>
      <c r="W4" s="36"/>
    </row>
    <row r="5" spans="1:24" s="53" customFormat="1" ht="16.5" customHeight="1">
      <c r="A5" s="1737" t="s">
        <v>313</v>
      </c>
      <c r="B5" s="1726" t="s">
        <v>667</v>
      </c>
      <c r="C5" s="1726" t="s">
        <v>296</v>
      </c>
      <c r="D5" s="1726"/>
      <c r="E5" s="1726"/>
      <c r="F5" s="1726"/>
      <c r="G5" s="1726"/>
      <c r="H5" s="1726"/>
      <c r="I5" s="1726" t="s">
        <v>146</v>
      </c>
      <c r="J5" s="1726"/>
      <c r="K5" s="1726"/>
      <c r="L5" s="1726"/>
      <c r="M5" s="1726"/>
      <c r="N5" s="1726"/>
      <c r="O5" s="1726"/>
      <c r="P5" s="1726"/>
      <c r="Q5" s="1726"/>
      <c r="R5" s="1726"/>
      <c r="S5" s="1727" t="s">
        <v>167</v>
      </c>
      <c r="T5" s="1727"/>
      <c r="U5" s="1727"/>
      <c r="V5" s="1727"/>
      <c r="W5" s="841"/>
    </row>
    <row r="6" spans="1:24" s="53" customFormat="1" ht="21.75" customHeight="1">
      <c r="A6" s="1737"/>
      <c r="B6" s="1726"/>
      <c r="C6" s="1726" t="s">
        <v>152</v>
      </c>
      <c r="D6" s="1726" t="s">
        <v>77</v>
      </c>
      <c r="E6" s="1726" t="s">
        <v>471</v>
      </c>
      <c r="F6" s="1731" t="s">
        <v>413</v>
      </c>
      <c r="G6" s="1732"/>
      <c r="H6" s="1733"/>
      <c r="I6" s="1726" t="s">
        <v>152</v>
      </c>
      <c r="J6" s="1726" t="s">
        <v>77</v>
      </c>
      <c r="K6" s="1726"/>
      <c r="L6" s="1726" t="s">
        <v>471</v>
      </c>
      <c r="M6" s="1726"/>
      <c r="N6" s="1726" t="s">
        <v>413</v>
      </c>
      <c r="O6" s="1726"/>
      <c r="P6" s="1726"/>
      <c r="Q6" s="1727" t="s">
        <v>675</v>
      </c>
      <c r="R6" s="1727" t="s">
        <v>401</v>
      </c>
      <c r="S6" s="1727" t="s">
        <v>152</v>
      </c>
      <c r="T6" s="1736" t="s">
        <v>77</v>
      </c>
      <c r="U6" s="1727" t="s">
        <v>471</v>
      </c>
      <c r="V6" s="1727" t="s">
        <v>413</v>
      </c>
    </row>
    <row r="7" spans="1:24" s="53" customFormat="1" ht="15" customHeight="1">
      <c r="A7" s="1737"/>
      <c r="B7" s="1726"/>
      <c r="C7" s="1726"/>
      <c r="D7" s="1726"/>
      <c r="E7" s="1726"/>
      <c r="F7" s="1728" t="s">
        <v>152</v>
      </c>
      <c r="G7" s="1726" t="s">
        <v>248</v>
      </c>
      <c r="H7" s="1726"/>
      <c r="I7" s="1726"/>
      <c r="J7" s="1726" t="s">
        <v>152</v>
      </c>
      <c r="K7" s="882" t="s">
        <v>248</v>
      </c>
      <c r="L7" s="1727" t="s">
        <v>152</v>
      </c>
      <c r="M7" s="882" t="s">
        <v>248</v>
      </c>
      <c r="N7" s="1726" t="s">
        <v>152</v>
      </c>
      <c r="O7" s="1730" t="s">
        <v>248</v>
      </c>
      <c r="P7" s="1730"/>
      <c r="Q7" s="1727"/>
      <c r="R7" s="1727"/>
      <c r="S7" s="1727"/>
      <c r="T7" s="1736"/>
      <c r="U7" s="1727"/>
      <c r="V7" s="1727"/>
    </row>
    <row r="8" spans="1:24" s="53" customFormat="1" ht="52.5" customHeight="1">
      <c r="A8" s="1737"/>
      <c r="B8" s="1726"/>
      <c r="C8" s="1726"/>
      <c r="D8" s="1726"/>
      <c r="E8" s="1726"/>
      <c r="F8" s="1729"/>
      <c r="G8" s="883" t="s">
        <v>77</v>
      </c>
      <c r="H8" s="883" t="s">
        <v>471</v>
      </c>
      <c r="I8" s="1726"/>
      <c r="J8" s="1726"/>
      <c r="K8" s="884" t="s">
        <v>414</v>
      </c>
      <c r="L8" s="1727"/>
      <c r="M8" s="882" t="s">
        <v>414</v>
      </c>
      <c r="N8" s="1726"/>
      <c r="O8" s="885" t="s">
        <v>77</v>
      </c>
      <c r="P8" s="885" t="s">
        <v>471</v>
      </c>
      <c r="Q8" s="1727"/>
      <c r="R8" s="1727"/>
      <c r="S8" s="1727"/>
      <c r="T8" s="1736"/>
      <c r="U8" s="1727"/>
      <c r="V8" s="1727"/>
    </row>
    <row r="9" spans="1:24" s="804" customFormat="1" ht="16.5" customHeight="1">
      <c r="A9" s="886" t="s">
        <v>316</v>
      </c>
      <c r="B9" s="887" t="s">
        <v>317</v>
      </c>
      <c r="C9" s="887" t="s">
        <v>408</v>
      </c>
      <c r="D9" s="887">
        <v>2</v>
      </c>
      <c r="E9" s="887">
        <v>3</v>
      </c>
      <c r="F9" s="887" t="s">
        <v>242</v>
      </c>
      <c r="G9" s="887">
        <v>5</v>
      </c>
      <c r="H9" s="887">
        <v>6</v>
      </c>
      <c r="I9" s="887">
        <v>7</v>
      </c>
      <c r="J9" s="887">
        <v>8</v>
      </c>
      <c r="K9" s="887">
        <v>9</v>
      </c>
      <c r="L9" s="887">
        <v>10</v>
      </c>
      <c r="M9" s="887">
        <v>11</v>
      </c>
      <c r="N9" s="887">
        <v>12</v>
      </c>
      <c r="O9" s="888">
        <v>13</v>
      </c>
      <c r="P9" s="888">
        <v>14</v>
      </c>
      <c r="Q9" s="888"/>
      <c r="R9" s="887">
        <v>15</v>
      </c>
      <c r="S9" s="888" t="s">
        <v>36</v>
      </c>
      <c r="T9" s="889" t="s">
        <v>37</v>
      </c>
      <c r="U9" s="888" t="s">
        <v>218</v>
      </c>
      <c r="V9" s="888" t="s">
        <v>424</v>
      </c>
    </row>
    <row r="10" spans="1:24" s="369" customFormat="1" ht="24" customHeight="1">
      <c r="A10" s="890"/>
      <c r="B10" s="891" t="s">
        <v>472</v>
      </c>
      <c r="C10" s="892">
        <f t="shared" ref="C10:J10" si="0">SUM(C11:C11)</f>
        <v>116334.72900000001</v>
      </c>
      <c r="D10" s="892">
        <f t="shared" si="0"/>
        <v>2884.5206750000002</v>
      </c>
      <c r="E10" s="892">
        <f t="shared" si="0"/>
        <v>81766.092711999998</v>
      </c>
      <c r="F10" s="892">
        <f t="shared" si="0"/>
        <v>31684.115613000002</v>
      </c>
      <c r="G10" s="892">
        <f t="shared" si="0"/>
        <v>19283.097439000001</v>
      </c>
      <c r="H10" s="892">
        <f t="shared" si="0"/>
        <v>12401.018173999999</v>
      </c>
      <c r="I10" s="892">
        <f t="shared" si="0"/>
        <v>138250.391913</v>
      </c>
      <c r="J10" s="892">
        <f t="shared" si="0"/>
        <v>2729.8000470000002</v>
      </c>
      <c r="K10" s="892"/>
      <c r="L10" s="892">
        <f t="shared" ref="L10:R10" si="1">SUM(L11:L11)</f>
        <v>93953.156815000009</v>
      </c>
      <c r="M10" s="893">
        <f t="shared" si="1"/>
        <v>0</v>
      </c>
      <c r="N10" s="892">
        <f t="shared" si="1"/>
        <v>29126.469160000001</v>
      </c>
      <c r="O10" s="892">
        <f t="shared" si="1"/>
        <v>18257.162093999999</v>
      </c>
      <c r="P10" s="892">
        <f t="shared" si="1"/>
        <v>10869.307066000001</v>
      </c>
      <c r="Q10" s="892">
        <f t="shared" si="1"/>
        <v>776.47793000000001</v>
      </c>
      <c r="R10" s="892">
        <f t="shared" si="1"/>
        <v>11664.487961000001</v>
      </c>
      <c r="S10" s="894">
        <f>I10/C10*100</f>
        <v>118.8384527143223</v>
      </c>
      <c r="T10" s="894">
        <f>J10/D10*100</f>
        <v>94.636175454003293</v>
      </c>
      <c r="U10" s="894">
        <f t="shared" ref="U10" si="2">L10/E10*100</f>
        <v>114.90478962462572</v>
      </c>
      <c r="V10" s="894">
        <f>N10/F10*100</f>
        <v>91.927669737606323</v>
      </c>
      <c r="W10" s="842">
        <f>+C10-I10</f>
        <v>-21915.662912999993</v>
      </c>
      <c r="X10" s="397"/>
    </row>
    <row r="11" spans="1:24" s="368" customFormat="1" ht="26.25" customHeight="1">
      <c r="A11" s="895">
        <v>1</v>
      </c>
      <c r="B11" s="896" t="s">
        <v>557</v>
      </c>
      <c r="C11" s="897">
        <f>D11+E11+F11</f>
        <v>116334.72900000001</v>
      </c>
      <c r="D11" s="897">
        <f>'51'!C10</f>
        <v>2884.5206750000002</v>
      </c>
      <c r="E11" s="897">
        <f>'51'!C17+'51'!C21+'51'!C38</f>
        <v>81766.092711999998</v>
      </c>
      <c r="F11" s="897">
        <f>G11+H11</f>
        <v>31684.115613000002</v>
      </c>
      <c r="G11" s="897">
        <f>'51'!C30+'51'!C33</f>
        <v>19283.097439000001</v>
      </c>
      <c r="H11" s="897">
        <f>'51'!C28+'51'!C31+'51'!C34</f>
        <v>12401.018173999999</v>
      </c>
      <c r="I11" s="897">
        <f>J11+L11+N11+Q11+R11</f>
        <v>138250.391913</v>
      </c>
      <c r="J11" s="897">
        <f>'48.QTCĐNSĐP'!D20</f>
        <v>2729.8000470000002</v>
      </c>
      <c r="K11" s="897"/>
      <c r="L11" s="897">
        <f>'51'!D17+'51'!D21+'51'!D38</f>
        <v>93953.156815000009</v>
      </c>
      <c r="M11" s="897"/>
      <c r="N11" s="897">
        <f>O11+P11</f>
        <v>29126.469160000001</v>
      </c>
      <c r="O11" s="898">
        <f>'51'!D30+'51'!D33</f>
        <v>18257.162093999999</v>
      </c>
      <c r="P11" s="898">
        <f>'51'!D28+'51'!D31+'51'!D34</f>
        <v>10869.307066000001</v>
      </c>
      <c r="Q11" s="898">
        <f>'48.QTCĐNSĐP'!D32</f>
        <v>776.47793000000001</v>
      </c>
      <c r="R11" s="897">
        <f>'48.QTCĐNSĐP'!D31</f>
        <v>11664.487961000001</v>
      </c>
      <c r="S11" s="899">
        <f t="shared" ref="S11:T11" si="3">I11/C11*100</f>
        <v>118.8384527143223</v>
      </c>
      <c r="T11" s="899">
        <f t="shared" si="3"/>
        <v>94.636175454003293</v>
      </c>
      <c r="U11" s="899">
        <f>L11/E11*100</f>
        <v>114.90478962462572</v>
      </c>
      <c r="V11" s="899">
        <f>N11/F11*100</f>
        <v>91.927669737606323</v>
      </c>
      <c r="W11" s="842">
        <f t="shared" ref="W11" si="4">+C11-I11</f>
        <v>-21915.662912999993</v>
      </c>
      <c r="X11" s="817"/>
    </row>
    <row r="12" spans="1:24" s="37" customFormat="1" ht="18" customHeight="1">
      <c r="A12" s="1734"/>
      <c r="B12" s="1734"/>
      <c r="C12" s="1734"/>
      <c r="D12" s="900"/>
      <c r="E12" s="839"/>
      <c r="F12" s="840"/>
      <c r="G12" s="31"/>
      <c r="H12" s="31"/>
      <c r="I12" s="31"/>
      <c r="J12" s="31"/>
      <c r="K12" s="31"/>
      <c r="L12" s="901"/>
      <c r="M12" s="31"/>
      <c r="N12" s="1676"/>
      <c r="O12" s="1676"/>
      <c r="P12" s="1676"/>
      <c r="Q12" s="1676"/>
      <c r="R12" s="1676"/>
      <c r="S12" s="1676"/>
      <c r="T12" s="1676"/>
      <c r="U12" s="1676"/>
      <c r="W12" s="375"/>
    </row>
    <row r="13" spans="1:24" s="37" customFormat="1" ht="22.5" customHeight="1">
      <c r="A13" s="382"/>
      <c r="B13" s="383"/>
      <c r="C13" s="383"/>
      <c r="D13" s="839"/>
      <c r="E13" s="839"/>
      <c r="F13" s="840"/>
      <c r="G13" s="31"/>
      <c r="H13" s="31"/>
      <c r="I13" s="31"/>
      <c r="J13" s="31"/>
      <c r="K13" s="31"/>
      <c r="L13" s="901"/>
      <c r="M13" s="31"/>
      <c r="N13" s="1672"/>
      <c r="O13" s="1672"/>
      <c r="P13" s="1672"/>
      <c r="Q13" s="1672"/>
      <c r="R13" s="1672"/>
      <c r="S13" s="1672"/>
      <c r="T13" s="1672"/>
      <c r="U13" s="1672"/>
    </row>
    <row r="14" spans="1:24" s="37" customFormat="1" ht="17.25" customHeight="1">
      <c r="A14" s="384"/>
      <c r="D14" s="839"/>
      <c r="E14" s="839"/>
      <c r="F14" s="840"/>
      <c r="G14" s="31"/>
      <c r="H14" s="31"/>
      <c r="I14" s="31"/>
      <c r="J14" s="31"/>
      <c r="K14" s="31"/>
      <c r="L14" s="901"/>
      <c r="M14" s="31"/>
      <c r="N14" s="1672"/>
      <c r="O14" s="1672"/>
      <c r="P14" s="1672"/>
      <c r="Q14" s="1672"/>
      <c r="R14" s="1672"/>
      <c r="S14" s="1672"/>
      <c r="T14" s="1672"/>
      <c r="U14" s="1672"/>
    </row>
    <row r="15" spans="1:24" s="37" customFormat="1" ht="15.75" customHeight="1">
      <c r="A15" s="384"/>
      <c r="D15" s="839"/>
      <c r="E15" s="839"/>
      <c r="F15" s="840"/>
      <c r="G15" s="31"/>
      <c r="H15" s="31"/>
      <c r="I15" s="31"/>
      <c r="J15" s="31"/>
      <c r="K15" s="31"/>
      <c r="L15" s="901"/>
      <c r="M15" s="31"/>
      <c r="N15" s="1676"/>
      <c r="O15" s="1676"/>
      <c r="P15" s="1676"/>
      <c r="Q15" s="1676"/>
      <c r="R15" s="1676"/>
      <c r="S15" s="1676"/>
      <c r="T15" s="1676"/>
      <c r="U15" s="1676"/>
    </row>
    <row r="16" spans="1:24" s="37" customFormat="1" ht="15.75" customHeight="1">
      <c r="A16" s="384"/>
      <c r="D16" s="839"/>
      <c r="E16" s="839"/>
      <c r="F16" s="840"/>
      <c r="G16" s="31"/>
      <c r="H16" s="31"/>
      <c r="I16" s="31"/>
      <c r="J16" s="31"/>
      <c r="K16" s="31"/>
      <c r="L16" s="901"/>
      <c r="M16" s="31"/>
      <c r="N16" s="391"/>
      <c r="O16" s="58"/>
      <c r="P16" s="58"/>
      <c r="Q16" s="58"/>
      <c r="R16" s="28"/>
      <c r="S16" s="33"/>
      <c r="T16" s="26"/>
      <c r="U16" s="33"/>
    </row>
    <row r="17" spans="1:21" s="37" customFormat="1" ht="15.75" customHeight="1">
      <c r="A17" s="384"/>
      <c r="D17" s="839"/>
      <c r="E17" s="839"/>
      <c r="F17" s="840"/>
      <c r="G17" s="31"/>
      <c r="H17" s="31"/>
      <c r="I17" s="31"/>
      <c r="J17" s="31"/>
      <c r="K17" s="31"/>
      <c r="L17" s="901"/>
      <c r="M17" s="31"/>
      <c r="N17" s="391"/>
      <c r="O17" s="58"/>
      <c r="P17" s="58"/>
      <c r="Q17" s="58"/>
      <c r="R17" s="28"/>
      <c r="S17" s="33"/>
      <c r="T17" s="26"/>
      <c r="U17" s="33"/>
    </row>
    <row r="18" spans="1:21" s="37" customFormat="1" ht="11.25" customHeight="1">
      <c r="A18" s="384"/>
      <c r="D18" s="839"/>
      <c r="E18" s="839"/>
      <c r="F18" s="840"/>
      <c r="G18" s="31"/>
      <c r="H18" s="31"/>
      <c r="I18" s="31"/>
      <c r="J18" s="31"/>
      <c r="K18" s="31"/>
      <c r="L18" s="901"/>
      <c r="M18" s="31"/>
      <c r="N18" s="391"/>
      <c r="O18" s="58"/>
      <c r="P18" s="58"/>
      <c r="Q18" s="58"/>
      <c r="R18" s="28"/>
      <c r="S18" s="33"/>
      <c r="T18" s="26"/>
      <c r="U18" s="33"/>
    </row>
    <row r="19" spans="1:21" s="37" customFormat="1" ht="17.25" customHeight="1">
      <c r="A19" s="384"/>
      <c r="D19" s="839"/>
      <c r="E19" s="839"/>
      <c r="F19" s="840"/>
      <c r="G19" s="31"/>
      <c r="H19" s="31"/>
      <c r="I19" s="31"/>
      <c r="J19" s="31"/>
      <c r="K19" s="31"/>
      <c r="L19" s="901"/>
      <c r="M19" s="31"/>
      <c r="N19" s="391"/>
      <c r="O19" s="58"/>
      <c r="P19" s="58"/>
      <c r="Q19" s="58"/>
      <c r="R19" s="28"/>
      <c r="S19" s="33"/>
      <c r="T19" s="26"/>
      <c r="U19" s="33"/>
    </row>
    <row r="20" spans="1:21" s="37" customFormat="1" ht="17.25" customHeight="1">
      <c r="A20" s="384"/>
      <c r="D20" s="839"/>
      <c r="E20" s="839"/>
      <c r="F20" s="840"/>
      <c r="G20" s="31"/>
      <c r="H20" s="31"/>
      <c r="I20" s="31"/>
      <c r="J20" s="31"/>
      <c r="K20" s="31"/>
      <c r="L20" s="901"/>
      <c r="M20" s="31"/>
      <c r="N20" s="391"/>
      <c r="O20" s="58"/>
      <c r="P20" s="58"/>
      <c r="Q20" s="58"/>
      <c r="R20" s="28"/>
      <c r="S20" s="33"/>
      <c r="T20" s="26"/>
      <c r="U20" s="33"/>
    </row>
    <row r="21" spans="1:21" ht="11.25" customHeight="1">
      <c r="N21" s="391"/>
      <c r="R21" s="28"/>
      <c r="S21" s="33"/>
      <c r="U21" s="33"/>
    </row>
    <row r="22" spans="1:21" ht="17.25" customHeight="1">
      <c r="I22" s="85"/>
      <c r="N22" s="391"/>
      <c r="R22" s="28"/>
      <c r="S22" s="33"/>
      <c r="U22" s="33"/>
    </row>
    <row r="23" spans="1:21" ht="18.75" customHeight="1">
      <c r="N23" s="1735"/>
      <c r="O23" s="1735"/>
      <c r="P23" s="1735"/>
      <c r="Q23" s="1735"/>
      <c r="R23" s="1735"/>
      <c r="S23" s="1735"/>
      <c r="T23" s="1735"/>
      <c r="U23" s="1735"/>
    </row>
    <row r="24" spans="1:21" ht="11.25" customHeight="1"/>
    <row r="25" spans="1:21" ht="15.75" customHeight="1"/>
    <row r="26" spans="1:21" ht="21" customHeight="1"/>
    <row r="27" spans="1:21" ht="46.5" customHeight="1"/>
    <row r="36" spans="1:21" s="1610" customFormat="1">
      <c r="A36" s="1600"/>
      <c r="B36" s="1601"/>
      <c r="C36" s="1602"/>
      <c r="D36" s="1603"/>
      <c r="E36" s="1603"/>
      <c r="F36" s="1604"/>
      <c r="G36" s="1605"/>
      <c r="H36" s="1605"/>
      <c r="I36" s="1605"/>
      <c r="J36" s="1605"/>
      <c r="K36" s="1605"/>
      <c r="L36" s="1606"/>
      <c r="M36" s="1605"/>
      <c r="N36" s="1605"/>
      <c r="O36" s="1607"/>
      <c r="P36" s="1607"/>
      <c r="Q36" s="1607"/>
      <c r="R36" s="1606"/>
      <c r="S36" s="1608"/>
      <c r="T36" s="1609"/>
      <c r="U36" s="1608"/>
    </row>
    <row r="37" spans="1:21" s="1610" customFormat="1">
      <c r="A37" s="1600"/>
      <c r="B37" s="1601"/>
      <c r="C37" s="1602"/>
      <c r="D37" s="1603"/>
      <c r="E37" s="1603"/>
      <c r="F37" s="1604"/>
      <c r="G37" s="1605"/>
      <c r="H37" s="1605"/>
      <c r="I37" s="1605"/>
      <c r="J37" s="1605"/>
      <c r="K37" s="1605"/>
      <c r="L37" s="1606"/>
      <c r="M37" s="1605"/>
      <c r="N37" s="1605"/>
      <c r="O37" s="1607"/>
      <c r="P37" s="1607"/>
      <c r="Q37" s="1607"/>
      <c r="R37" s="1606"/>
      <c r="S37" s="1608"/>
      <c r="T37" s="1609"/>
      <c r="U37" s="1608"/>
    </row>
    <row r="38" spans="1:21" s="1610" customFormat="1">
      <c r="A38" s="1600"/>
      <c r="B38" s="1601"/>
      <c r="C38" s="1602"/>
      <c r="D38" s="1603"/>
      <c r="E38" s="1603"/>
      <c r="F38" s="1604"/>
      <c r="G38" s="1605"/>
      <c r="H38" s="1605"/>
      <c r="I38" s="1605"/>
      <c r="J38" s="1605"/>
      <c r="K38" s="1605"/>
      <c r="L38" s="1606"/>
      <c r="M38" s="1605"/>
      <c r="N38" s="1605"/>
      <c r="O38" s="1607"/>
      <c r="P38" s="1607"/>
      <c r="Q38" s="1607"/>
      <c r="R38" s="1606"/>
      <c r="S38" s="1608"/>
      <c r="T38" s="1609"/>
      <c r="U38" s="1608"/>
    </row>
    <row r="39" spans="1:21" s="1610" customFormat="1" ht="22.5" customHeight="1">
      <c r="A39" s="1600"/>
      <c r="C39" s="1602"/>
      <c r="D39" s="1602"/>
      <c r="E39" s="1603"/>
      <c r="F39" s="1604"/>
      <c r="G39" s="1605"/>
      <c r="H39" s="1605"/>
      <c r="I39" s="1605"/>
      <c r="J39" s="1605"/>
      <c r="K39" s="1605"/>
      <c r="L39" s="1606"/>
      <c r="M39" s="1605"/>
      <c r="N39" s="1605"/>
      <c r="O39" s="1607"/>
      <c r="P39" s="1607"/>
      <c r="Q39" s="1607"/>
      <c r="R39" s="1606"/>
      <c r="S39" s="1608"/>
      <c r="T39" s="1609"/>
      <c r="U39" s="1608"/>
    </row>
    <row r="40" spans="1:21" s="1610" customFormat="1">
      <c r="A40" s="1600"/>
      <c r="D40" s="1603"/>
      <c r="E40" s="1603"/>
      <c r="F40" s="1604"/>
      <c r="G40" s="1605"/>
      <c r="H40" s="1605"/>
      <c r="I40" s="1605"/>
      <c r="J40" s="1605"/>
      <c r="K40" s="1605"/>
      <c r="L40" s="1606"/>
      <c r="M40" s="1605"/>
      <c r="N40" s="1605"/>
      <c r="O40" s="1607"/>
      <c r="P40" s="1607"/>
      <c r="Q40" s="1607"/>
      <c r="R40" s="1606"/>
      <c r="S40" s="1608"/>
      <c r="T40" s="1609"/>
      <c r="U40" s="1608"/>
    </row>
    <row r="41" spans="1:21" s="1610" customFormat="1">
      <c r="A41" s="1600"/>
      <c r="D41" s="1603"/>
      <c r="E41" s="1603"/>
      <c r="F41" s="1604"/>
      <c r="G41" s="1605"/>
      <c r="H41" s="1605"/>
      <c r="I41" s="1605"/>
      <c r="J41" s="1605"/>
      <c r="K41" s="1605"/>
      <c r="L41" s="1606"/>
      <c r="M41" s="1605"/>
      <c r="N41" s="1605"/>
      <c r="O41" s="1607"/>
      <c r="P41" s="1607"/>
      <c r="Q41" s="1607"/>
      <c r="R41" s="1606"/>
      <c r="S41" s="1608"/>
      <c r="T41" s="1609"/>
      <c r="U41" s="1608"/>
    </row>
    <row r="42" spans="1:21" s="1610" customFormat="1">
      <c r="A42" s="1600"/>
      <c r="B42" s="1601"/>
      <c r="C42" s="1602"/>
      <c r="D42" s="1603"/>
      <c r="E42" s="1603"/>
      <c r="F42" s="1604"/>
      <c r="G42" s="1605"/>
      <c r="H42" s="1605"/>
      <c r="I42" s="1605"/>
      <c r="J42" s="1605"/>
      <c r="K42" s="1605"/>
      <c r="L42" s="1606"/>
      <c r="M42" s="1605"/>
      <c r="N42" s="1605"/>
      <c r="O42" s="1607"/>
      <c r="P42" s="1607"/>
      <c r="Q42" s="1607"/>
      <c r="R42" s="1606"/>
      <c r="S42" s="1608"/>
      <c r="T42" s="1609"/>
      <c r="U42" s="1608"/>
    </row>
    <row r="43" spans="1:21" s="1610" customFormat="1">
      <c r="A43" s="1600"/>
      <c r="B43" s="1601"/>
      <c r="C43" s="1602"/>
      <c r="D43" s="1603"/>
      <c r="E43" s="1603"/>
      <c r="F43" s="1604"/>
      <c r="G43" s="1605"/>
      <c r="H43" s="1605"/>
      <c r="I43" s="1605"/>
      <c r="J43" s="1605"/>
      <c r="K43" s="1605"/>
      <c r="L43" s="1606"/>
      <c r="M43" s="1605"/>
      <c r="N43" s="1605"/>
      <c r="O43" s="1607"/>
      <c r="P43" s="1607"/>
      <c r="Q43" s="1607"/>
      <c r="R43" s="1606"/>
      <c r="S43" s="1608"/>
      <c r="T43" s="1609"/>
      <c r="U43" s="1608"/>
    </row>
    <row r="44" spans="1:21" s="1610" customFormat="1">
      <c r="A44" s="1600"/>
      <c r="C44" s="1602"/>
      <c r="D44" s="1602"/>
      <c r="E44" s="1603"/>
      <c r="F44" s="1604"/>
      <c r="G44" s="1605"/>
      <c r="H44" s="1605"/>
      <c r="I44" s="1605"/>
      <c r="J44" s="1605"/>
      <c r="K44" s="1605"/>
      <c r="L44" s="1606"/>
      <c r="M44" s="1605"/>
      <c r="N44" s="1605"/>
      <c r="O44" s="1607"/>
      <c r="P44" s="1607"/>
      <c r="Q44" s="1607"/>
      <c r="R44" s="1606"/>
      <c r="S44" s="1608"/>
      <c r="T44" s="1609"/>
      <c r="U44" s="1608"/>
    </row>
    <row r="45" spans="1:21" s="1610" customFormat="1">
      <c r="A45" s="1600"/>
      <c r="D45" s="1603"/>
      <c r="E45" s="1603"/>
      <c r="F45" s="1604"/>
      <c r="G45" s="1605"/>
      <c r="H45" s="1605"/>
      <c r="I45" s="1605"/>
      <c r="J45" s="1605"/>
      <c r="K45" s="1605"/>
      <c r="L45" s="1606"/>
      <c r="M45" s="1605"/>
      <c r="N45" s="1605"/>
      <c r="O45" s="1607"/>
      <c r="P45" s="1607"/>
      <c r="Q45" s="1607"/>
      <c r="R45" s="1606"/>
      <c r="S45" s="1608"/>
      <c r="T45" s="1609"/>
      <c r="U45" s="1608"/>
    </row>
    <row r="46" spans="1:21" s="1610" customFormat="1">
      <c r="A46" s="1600"/>
      <c r="D46" s="1603"/>
      <c r="E46" s="1603"/>
      <c r="F46" s="1604"/>
      <c r="G46" s="1605"/>
      <c r="H46" s="1605"/>
      <c r="I46" s="1605"/>
      <c r="J46" s="1605"/>
      <c r="K46" s="1605"/>
      <c r="L46" s="1606"/>
      <c r="M46" s="1605"/>
      <c r="N46" s="1605"/>
      <c r="O46" s="1607"/>
      <c r="P46" s="1607"/>
      <c r="Q46" s="1607"/>
      <c r="R46" s="1606"/>
      <c r="S46" s="1608"/>
      <c r="T46" s="1609"/>
      <c r="U46" s="1608"/>
    </row>
    <row r="47" spans="1:21" s="1610" customFormat="1">
      <c r="A47" s="1600"/>
      <c r="D47" s="1603"/>
      <c r="E47" s="1603"/>
      <c r="F47" s="1604"/>
      <c r="G47" s="1605"/>
      <c r="H47" s="1605"/>
      <c r="I47" s="1605"/>
      <c r="J47" s="1605"/>
      <c r="K47" s="1605"/>
      <c r="L47" s="1606"/>
      <c r="M47" s="1605"/>
      <c r="N47" s="1605"/>
      <c r="O47" s="1607"/>
      <c r="P47" s="1607"/>
      <c r="Q47" s="1607"/>
      <c r="R47" s="1606"/>
      <c r="S47" s="1608"/>
      <c r="T47" s="1609"/>
      <c r="U47" s="1608"/>
    </row>
    <row r="48" spans="1:21" s="1610" customFormat="1">
      <c r="A48" s="1600"/>
      <c r="B48" s="1601"/>
      <c r="C48" s="1611"/>
      <c r="D48" s="1612"/>
      <c r="E48" s="1603"/>
      <c r="F48" s="1604"/>
      <c r="G48" s="1605"/>
      <c r="H48" s="1605"/>
      <c r="I48" s="1605"/>
      <c r="J48" s="1605"/>
      <c r="K48" s="1605"/>
      <c r="L48" s="1606"/>
      <c r="M48" s="1605"/>
      <c r="N48" s="1605"/>
      <c r="O48" s="1607"/>
      <c r="P48" s="1607"/>
      <c r="Q48" s="1607"/>
      <c r="R48" s="1606"/>
      <c r="S48" s="1608"/>
      <c r="T48" s="1609"/>
      <c r="U48" s="1608"/>
    </row>
    <row r="49" spans="1:21" s="1610" customFormat="1">
      <c r="A49" s="1600"/>
      <c r="B49" s="1601"/>
      <c r="C49" s="1611"/>
      <c r="D49" s="1612"/>
      <c r="E49" s="1603"/>
      <c r="F49" s="1604"/>
      <c r="G49" s="1605"/>
      <c r="H49" s="1605"/>
      <c r="I49" s="1605"/>
      <c r="J49" s="1605"/>
      <c r="K49" s="1605"/>
      <c r="L49" s="1606"/>
      <c r="M49" s="1605"/>
      <c r="N49" s="1605"/>
      <c r="O49" s="1607"/>
      <c r="P49" s="1607"/>
      <c r="Q49" s="1607"/>
      <c r="R49" s="1606"/>
      <c r="S49" s="1608"/>
      <c r="T49" s="1609"/>
      <c r="U49" s="1608"/>
    </row>
    <row r="50" spans="1:21" s="1610" customFormat="1">
      <c r="A50" s="1600"/>
      <c r="B50" s="1601"/>
      <c r="C50" s="1611"/>
      <c r="D50" s="1612"/>
      <c r="E50" s="1603"/>
      <c r="F50" s="1604"/>
      <c r="G50" s="1605"/>
      <c r="H50" s="1605"/>
      <c r="I50" s="1605"/>
      <c r="J50" s="1605"/>
      <c r="K50" s="1605"/>
      <c r="L50" s="1606"/>
      <c r="M50" s="1605"/>
      <c r="N50" s="1605"/>
      <c r="O50" s="1607"/>
      <c r="P50" s="1607"/>
      <c r="Q50" s="1607"/>
      <c r="R50" s="1606"/>
      <c r="S50" s="1608"/>
      <c r="T50" s="1609"/>
      <c r="U50" s="1608"/>
    </row>
    <row r="51" spans="1:21" s="1610" customFormat="1">
      <c r="A51" s="1600"/>
      <c r="C51" s="1613"/>
      <c r="D51" s="1612"/>
      <c r="E51" s="1603"/>
      <c r="F51" s="1604"/>
      <c r="G51" s="1605"/>
      <c r="H51" s="1605"/>
      <c r="I51" s="1605"/>
      <c r="J51" s="1605"/>
      <c r="K51" s="1605"/>
      <c r="L51" s="1606"/>
      <c r="M51" s="1605"/>
      <c r="N51" s="1605"/>
      <c r="O51" s="1607"/>
      <c r="P51" s="1607"/>
      <c r="Q51" s="1607"/>
      <c r="R51" s="1606"/>
      <c r="S51" s="1608"/>
      <c r="T51" s="1609"/>
      <c r="U51" s="1608"/>
    </row>
    <row r="52" spans="1:21" s="1610" customFormat="1">
      <c r="A52" s="1600"/>
      <c r="D52" s="1603"/>
      <c r="E52" s="1603"/>
      <c r="F52" s="1604"/>
      <c r="G52" s="1605"/>
      <c r="H52" s="1605"/>
      <c r="I52" s="1605"/>
      <c r="J52" s="1605"/>
      <c r="K52" s="1605"/>
      <c r="L52" s="1606"/>
      <c r="M52" s="1605"/>
      <c r="N52" s="1605"/>
      <c r="O52" s="1607"/>
      <c r="P52" s="1607"/>
      <c r="Q52" s="1607"/>
      <c r="R52" s="1606"/>
      <c r="S52" s="1608"/>
      <c r="T52" s="1609"/>
      <c r="U52" s="1608"/>
    </row>
    <row r="53" spans="1:21" s="1610" customFormat="1">
      <c r="A53" s="1600"/>
      <c r="D53" s="1603"/>
      <c r="E53" s="1603"/>
      <c r="F53" s="1604"/>
      <c r="G53" s="1605"/>
      <c r="H53" s="1605"/>
      <c r="I53" s="1605"/>
      <c r="J53" s="1605"/>
      <c r="K53" s="1605"/>
      <c r="L53" s="1606"/>
      <c r="M53" s="1605"/>
      <c r="N53" s="1605"/>
      <c r="O53" s="1607"/>
      <c r="P53" s="1607"/>
      <c r="Q53" s="1607"/>
      <c r="R53" s="1606"/>
      <c r="S53" s="1608"/>
      <c r="T53" s="1609"/>
      <c r="U53" s="1608"/>
    </row>
    <row r="54" spans="1:21" s="1610" customFormat="1">
      <c r="A54" s="1600"/>
      <c r="D54" s="1603"/>
      <c r="E54" s="1603"/>
      <c r="F54" s="1604"/>
      <c r="G54" s="1605"/>
      <c r="H54" s="1605"/>
      <c r="I54" s="1605"/>
      <c r="J54" s="1605"/>
      <c r="K54" s="1605"/>
      <c r="L54" s="1606"/>
      <c r="M54" s="1605"/>
      <c r="N54" s="1605"/>
      <c r="O54" s="1607"/>
      <c r="P54" s="1607"/>
      <c r="Q54" s="1607"/>
      <c r="R54" s="1606"/>
      <c r="S54" s="1608"/>
      <c r="T54" s="1609"/>
      <c r="U54" s="1608"/>
    </row>
    <row r="55" spans="1:21" s="1610" customFormat="1">
      <c r="A55" s="1600"/>
      <c r="D55" s="1603"/>
      <c r="E55" s="1603"/>
      <c r="F55" s="1604"/>
      <c r="G55" s="1605"/>
      <c r="H55" s="1605"/>
      <c r="I55" s="1605"/>
      <c r="J55" s="1605"/>
      <c r="K55" s="1605"/>
      <c r="L55" s="1606"/>
      <c r="M55" s="1605"/>
      <c r="N55" s="1605"/>
      <c r="O55" s="1607"/>
      <c r="P55" s="1607"/>
      <c r="Q55" s="1607"/>
      <c r="R55" s="1606"/>
      <c r="S55" s="1608"/>
      <c r="T55" s="1609"/>
      <c r="U55" s="1608"/>
    </row>
    <row r="56" spans="1:21" s="1610" customFormat="1">
      <c r="A56" s="1600"/>
      <c r="D56" s="1603"/>
      <c r="E56" s="1603"/>
      <c r="F56" s="1604"/>
      <c r="G56" s="1605"/>
      <c r="H56" s="1605"/>
      <c r="I56" s="1605"/>
      <c r="J56" s="1605"/>
      <c r="K56" s="1605"/>
      <c r="L56" s="1606"/>
      <c r="M56" s="1605"/>
      <c r="N56" s="1605"/>
      <c r="O56" s="1607"/>
      <c r="P56" s="1607"/>
      <c r="Q56" s="1607"/>
      <c r="R56" s="1606"/>
      <c r="S56" s="1608"/>
      <c r="T56" s="1609"/>
      <c r="U56" s="1608"/>
    </row>
    <row r="57" spans="1:21" s="1610" customFormat="1">
      <c r="A57" s="1600"/>
      <c r="D57" s="1603"/>
      <c r="E57" s="1603"/>
      <c r="F57" s="1604"/>
      <c r="G57" s="1605"/>
      <c r="H57" s="1605"/>
      <c r="I57" s="1605"/>
      <c r="J57" s="1605"/>
      <c r="K57" s="1605"/>
      <c r="L57" s="1606"/>
      <c r="M57" s="1605"/>
      <c r="N57" s="1605"/>
      <c r="O57" s="1607"/>
      <c r="P57" s="1607"/>
      <c r="Q57" s="1607"/>
      <c r="R57" s="1606"/>
      <c r="S57" s="1608"/>
      <c r="T57" s="1609"/>
      <c r="U57" s="1608"/>
    </row>
  </sheetData>
  <mergeCells count="39">
    <mergeCell ref="A12:C12"/>
    <mergeCell ref="N15:U15"/>
    <mergeCell ref="N23:U23"/>
    <mergeCell ref="S6:S8"/>
    <mergeCell ref="T6:T8"/>
    <mergeCell ref="U6:U8"/>
    <mergeCell ref="N12:U12"/>
    <mergeCell ref="N13:U13"/>
    <mergeCell ref="N14:U14"/>
    <mergeCell ref="A5:A8"/>
    <mergeCell ref="B5:B8"/>
    <mergeCell ref="S5:V5"/>
    <mergeCell ref="C6:C8"/>
    <mergeCell ref="D6:D8"/>
    <mergeCell ref="E6:E8"/>
    <mergeCell ref="C5:H5"/>
    <mergeCell ref="I5:R5"/>
    <mergeCell ref="V6:V8"/>
    <mergeCell ref="F7:F8"/>
    <mergeCell ref="G7:H7"/>
    <mergeCell ref="J7:J8"/>
    <mergeCell ref="L7:L8"/>
    <mergeCell ref="N7:N8"/>
    <mergeCell ref="O7:P7"/>
    <mergeCell ref="I6:I8"/>
    <mergeCell ref="J6:K6"/>
    <mergeCell ref="L6:M6"/>
    <mergeCell ref="N6:P6"/>
    <mergeCell ref="R6:R8"/>
    <mergeCell ref="F6:H6"/>
    <mergeCell ref="Q6:Q8"/>
    <mergeCell ref="A2:U2"/>
    <mergeCell ref="A1:C1"/>
    <mergeCell ref="J1:K1"/>
    <mergeCell ref="D4:F4"/>
    <mergeCell ref="K4:L4"/>
    <mergeCell ref="O4:P4"/>
    <mergeCell ref="S1:V1"/>
    <mergeCell ref="A3:V3"/>
  </mergeCells>
  <phoneticPr fontId="32" type="noConversion"/>
  <pageMargins left="0.28000000000000003" right="0.2" top="0.51" bottom="0.25" header="0.33" footer="0.19"/>
  <pageSetup paperSize="8" scale="98" firstPageNumber="157" orientation="landscape" useFirstPageNumber="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2"/>
  <sheetViews>
    <sheetView zoomScale="85" zoomScaleNormal="85" workbookViewId="0">
      <pane xSplit="3" ySplit="6" topLeftCell="D7" activePane="bottomRight" state="frozen"/>
      <selection pane="topRight" activeCell="D1" sqref="D1"/>
      <selection pane="bottomLeft" activeCell="A8" sqref="A8"/>
      <selection pane="bottomRight" activeCell="A2" sqref="A2:Z2"/>
    </sheetView>
  </sheetViews>
  <sheetFormatPr defaultColWidth="8.85546875" defaultRowHeight="15"/>
  <cols>
    <col min="1" max="1" width="4.28515625" style="380" customWidth="1"/>
    <col min="2" max="2" width="10.7109375" style="33" customWidth="1"/>
    <col min="3" max="3" width="14" style="33" customWidth="1"/>
    <col min="4" max="4" width="14" style="205" customWidth="1"/>
    <col min="5" max="5" width="12.42578125" style="205" customWidth="1"/>
    <col min="6" max="6" width="11.7109375" style="338" customWidth="1"/>
    <col min="7" max="7" width="11.7109375" style="28" customWidth="1"/>
    <col min="8" max="8" width="11.42578125" style="28" customWidth="1"/>
    <col min="9" max="9" width="13.42578125" style="28" customWidth="1"/>
    <col min="10" max="10" width="10.5703125" style="28" customWidth="1"/>
    <col min="11" max="11" width="6" style="28" customWidth="1"/>
    <col min="12" max="12" width="11.7109375" style="391" customWidth="1"/>
    <col min="13" max="13" width="5.7109375" style="28" customWidth="1"/>
    <col min="14" max="14" width="11.5703125" style="28" customWidth="1"/>
    <col min="15" max="15" width="11" style="58" customWidth="1"/>
    <col min="16" max="16" width="11.5703125" style="58" customWidth="1"/>
    <col min="17" max="17" width="10.28515625" style="58" customWidth="1"/>
    <col min="18" max="18" width="11.28515625" style="391" customWidth="1"/>
    <col min="19" max="19" width="5.7109375" style="54" customWidth="1"/>
    <col min="20" max="20" width="6.28515625" style="26" customWidth="1"/>
    <col min="21" max="21" width="6" style="54" customWidth="1"/>
    <col min="22" max="22" width="5.7109375" style="33" customWidth="1"/>
    <col min="23" max="23" width="20" style="33" customWidth="1"/>
    <col min="24" max="24" width="9.7109375" style="33" bestFit="1" customWidth="1"/>
    <col min="25" max="16384" width="8.85546875" style="33"/>
  </cols>
  <sheetData>
    <row r="1" spans="1:26">
      <c r="A1" s="1329" t="s">
        <v>1191</v>
      </c>
      <c r="B1" s="1329"/>
      <c r="C1" s="1329"/>
      <c r="D1" s="1329"/>
      <c r="E1" s="1327"/>
      <c r="F1" s="1327"/>
      <c r="G1" s="1330"/>
      <c r="H1" s="1327"/>
      <c r="I1" s="1327"/>
      <c r="J1" s="1327"/>
      <c r="K1" s="1327"/>
      <c r="L1" s="1327"/>
      <c r="M1" s="1327"/>
      <c r="N1" s="1327"/>
      <c r="O1" s="1327"/>
      <c r="P1" s="1327"/>
      <c r="Q1" s="1327"/>
      <c r="R1" s="1327"/>
      <c r="S1" s="1327"/>
      <c r="T1" s="1327"/>
      <c r="U1" s="1327"/>
      <c r="V1" s="1327"/>
      <c r="W1" s="1327"/>
      <c r="X1" s="1327"/>
      <c r="Y1" s="1326" t="s">
        <v>1168</v>
      </c>
      <c r="Z1" s="1327"/>
    </row>
    <row r="2" spans="1:26" ht="27" customHeight="1">
      <c r="A2" s="1739" t="s">
        <v>1169</v>
      </c>
      <c r="B2" s="1739"/>
      <c r="C2" s="1739"/>
      <c r="D2" s="1739"/>
      <c r="E2" s="1739"/>
      <c r="F2" s="1739"/>
      <c r="G2" s="1739"/>
      <c r="H2" s="1739"/>
      <c r="I2" s="1739"/>
      <c r="J2" s="1739"/>
      <c r="K2" s="1739"/>
      <c r="L2" s="1739"/>
      <c r="M2" s="1739"/>
      <c r="N2" s="1739"/>
      <c r="O2" s="1739"/>
      <c r="P2" s="1739"/>
      <c r="Q2" s="1739"/>
      <c r="R2" s="1739"/>
      <c r="S2" s="1739"/>
      <c r="T2" s="1739"/>
      <c r="U2" s="1739"/>
      <c r="V2" s="1739"/>
      <c r="W2" s="1739"/>
      <c r="X2" s="1739"/>
      <c r="Y2" s="1739"/>
      <c r="Z2" s="1739"/>
    </row>
    <row r="3" spans="1:26" ht="16.5" customHeight="1">
      <c r="A3" s="1739" t="s">
        <v>1170</v>
      </c>
      <c r="B3" s="1739"/>
      <c r="C3" s="1739"/>
      <c r="D3" s="1739"/>
      <c r="E3" s="1739"/>
      <c r="F3" s="1739"/>
      <c r="G3" s="1739"/>
      <c r="H3" s="1739"/>
      <c r="I3" s="1739"/>
      <c r="J3" s="1739"/>
      <c r="K3" s="1739"/>
      <c r="L3" s="1739"/>
      <c r="M3" s="1739"/>
      <c r="N3" s="1739"/>
      <c r="O3" s="1739"/>
      <c r="P3" s="1739"/>
      <c r="Q3" s="1739"/>
      <c r="R3" s="1739"/>
      <c r="S3" s="1739"/>
      <c r="T3" s="1739"/>
      <c r="U3" s="1739"/>
      <c r="V3" s="1739"/>
      <c r="W3" s="1739"/>
      <c r="X3" s="1739"/>
      <c r="Y3" s="1739"/>
      <c r="Z3" s="1739"/>
    </row>
    <row r="4" spans="1:26" s="53" customFormat="1" ht="16.5" customHeight="1">
      <c r="A4" s="1740" t="s">
        <v>312</v>
      </c>
      <c r="B4" s="1740"/>
      <c r="C4" s="1740"/>
      <c r="D4" s="1740"/>
      <c r="E4" s="1740"/>
      <c r="F4" s="1740"/>
      <c r="G4" s="1740"/>
      <c r="H4" s="1740"/>
      <c r="I4" s="1740"/>
      <c r="J4" s="1740"/>
      <c r="K4" s="1740"/>
      <c r="L4" s="1740"/>
      <c r="M4" s="1740"/>
      <c r="N4" s="1740"/>
      <c r="O4" s="1740"/>
      <c r="P4" s="1740"/>
      <c r="Q4" s="1740"/>
      <c r="R4" s="1740"/>
      <c r="S4" s="1740"/>
      <c r="T4" s="1740"/>
      <c r="U4" s="1740"/>
      <c r="V4" s="1740"/>
      <c r="W4" s="1740"/>
      <c r="X4" s="1740"/>
      <c r="Y4" s="1740"/>
      <c r="Z4" s="1740"/>
    </row>
    <row r="5" spans="1:26" s="53" customFormat="1" ht="21.75" customHeight="1">
      <c r="A5" s="1738" t="s">
        <v>313</v>
      </c>
      <c r="B5" s="1738" t="s">
        <v>412</v>
      </c>
      <c r="C5" s="1738" t="s">
        <v>315</v>
      </c>
      <c r="D5" s="1738"/>
      <c r="E5" s="1738"/>
      <c r="F5" s="1738"/>
      <c r="G5" s="1738"/>
      <c r="H5" s="1738"/>
      <c r="I5" s="1738"/>
      <c r="J5" s="1738"/>
      <c r="K5" s="1738" t="s">
        <v>146</v>
      </c>
      <c r="L5" s="1738"/>
      <c r="M5" s="1738"/>
      <c r="N5" s="1738"/>
      <c r="O5" s="1738"/>
      <c r="P5" s="1738"/>
      <c r="Q5" s="1738"/>
      <c r="R5" s="1738"/>
      <c r="S5" s="1738" t="s">
        <v>415</v>
      </c>
      <c r="T5" s="1738"/>
      <c r="U5" s="1738"/>
      <c r="V5" s="1738"/>
      <c r="W5" s="1738"/>
      <c r="X5" s="1738"/>
      <c r="Y5" s="1738"/>
      <c r="Z5" s="1738"/>
    </row>
    <row r="6" spans="1:26" s="53" customFormat="1" ht="15" customHeight="1">
      <c r="A6" s="1738"/>
      <c r="B6" s="1738"/>
      <c r="C6" s="1738" t="s">
        <v>152</v>
      </c>
      <c r="D6" s="1738" t="s">
        <v>170</v>
      </c>
      <c r="E6" s="1738" t="s">
        <v>48</v>
      </c>
      <c r="F6" s="1738"/>
      <c r="G6" s="1738"/>
      <c r="H6" s="1738"/>
      <c r="I6" s="1738"/>
      <c r="J6" s="1738"/>
      <c r="K6" s="1738" t="s">
        <v>152</v>
      </c>
      <c r="L6" s="1738" t="s">
        <v>170</v>
      </c>
      <c r="M6" s="1738" t="s">
        <v>48</v>
      </c>
      <c r="N6" s="1738"/>
      <c r="O6" s="1738"/>
      <c r="P6" s="1738"/>
      <c r="Q6" s="1738"/>
      <c r="R6" s="1738"/>
      <c r="S6" s="1738" t="s">
        <v>152</v>
      </c>
      <c r="T6" s="1738" t="s">
        <v>170</v>
      </c>
      <c r="U6" s="1738" t="s">
        <v>48</v>
      </c>
      <c r="V6" s="1738"/>
      <c r="W6" s="1738"/>
      <c r="X6" s="1738"/>
      <c r="Y6" s="1738"/>
      <c r="Z6" s="1738"/>
    </row>
    <row r="7" spans="1:26" s="53" customFormat="1" ht="52.5" customHeight="1">
      <c r="A7" s="1738"/>
      <c r="B7" s="1738"/>
      <c r="C7" s="1738"/>
      <c r="D7" s="1738"/>
      <c r="E7" s="1738" t="s">
        <v>152</v>
      </c>
      <c r="F7" s="1738" t="s">
        <v>240</v>
      </c>
      <c r="G7" s="1738"/>
      <c r="H7" s="1738" t="s">
        <v>416</v>
      </c>
      <c r="I7" s="1738" t="s">
        <v>417</v>
      </c>
      <c r="J7" s="1738" t="s">
        <v>418</v>
      </c>
      <c r="K7" s="1738"/>
      <c r="L7" s="1738"/>
      <c r="M7" s="1738" t="s">
        <v>152</v>
      </c>
      <c r="N7" s="1738" t="s">
        <v>240</v>
      </c>
      <c r="O7" s="1738"/>
      <c r="P7" s="1738" t="s">
        <v>416</v>
      </c>
      <c r="Q7" s="1738" t="s">
        <v>417</v>
      </c>
      <c r="R7" s="1738" t="s">
        <v>418</v>
      </c>
      <c r="S7" s="1738"/>
      <c r="T7" s="1738"/>
      <c r="U7" s="1738" t="s">
        <v>152</v>
      </c>
      <c r="V7" s="1738" t="s">
        <v>240</v>
      </c>
      <c r="W7" s="1738"/>
      <c r="X7" s="1738" t="s">
        <v>416</v>
      </c>
      <c r="Y7" s="1738" t="s">
        <v>417</v>
      </c>
      <c r="Z7" s="1738" t="s">
        <v>418</v>
      </c>
    </row>
    <row r="8" spans="1:26" s="804" customFormat="1" ht="41.45" customHeight="1">
      <c r="A8" s="1738"/>
      <c r="B8" s="1738"/>
      <c r="C8" s="1738"/>
      <c r="D8" s="1738"/>
      <c r="E8" s="1738"/>
      <c r="F8" s="1325" t="s">
        <v>419</v>
      </c>
      <c r="G8" s="1331" t="s">
        <v>256</v>
      </c>
      <c r="H8" s="1738"/>
      <c r="I8" s="1738"/>
      <c r="J8" s="1738"/>
      <c r="K8" s="1738"/>
      <c r="L8" s="1738"/>
      <c r="M8" s="1738"/>
      <c r="N8" s="1325" t="s">
        <v>419</v>
      </c>
      <c r="O8" s="1325" t="s">
        <v>256</v>
      </c>
      <c r="P8" s="1738"/>
      <c r="Q8" s="1738"/>
      <c r="R8" s="1738"/>
      <c r="S8" s="1738"/>
      <c r="T8" s="1738"/>
      <c r="U8" s="1738"/>
      <c r="V8" s="1325" t="s">
        <v>419</v>
      </c>
      <c r="W8" s="1325" t="s">
        <v>256</v>
      </c>
      <c r="X8" s="1738"/>
      <c r="Y8" s="1738"/>
      <c r="Z8" s="1738"/>
    </row>
    <row r="9" spans="1:26" s="369" customFormat="1" ht="24" customHeight="1">
      <c r="A9" s="1325" t="s">
        <v>316</v>
      </c>
      <c r="B9" s="1325" t="s">
        <v>317</v>
      </c>
      <c r="C9" s="1325">
        <v>1</v>
      </c>
      <c r="D9" s="1325">
        <v>2</v>
      </c>
      <c r="E9" s="1325" t="s">
        <v>420</v>
      </c>
      <c r="F9" s="1325">
        <v>4</v>
      </c>
      <c r="G9" s="1325">
        <v>5</v>
      </c>
      <c r="H9" s="1325">
        <v>6</v>
      </c>
      <c r="I9" s="1325">
        <v>7</v>
      </c>
      <c r="J9" s="1325">
        <v>8</v>
      </c>
      <c r="K9" s="1325">
        <v>9</v>
      </c>
      <c r="L9" s="1325">
        <v>10</v>
      </c>
      <c r="M9" s="1325" t="s">
        <v>249</v>
      </c>
      <c r="N9" s="1325">
        <v>12</v>
      </c>
      <c r="O9" s="1325">
        <v>13</v>
      </c>
      <c r="P9" s="1325">
        <v>14</v>
      </c>
      <c r="Q9" s="1325">
        <v>15</v>
      </c>
      <c r="R9" s="1325">
        <v>16</v>
      </c>
      <c r="S9" s="1325" t="s">
        <v>421</v>
      </c>
      <c r="T9" s="1325" t="s">
        <v>422</v>
      </c>
      <c r="U9" s="1325" t="s">
        <v>423</v>
      </c>
      <c r="V9" s="1325" t="s">
        <v>424</v>
      </c>
      <c r="W9" s="1325" t="s">
        <v>425</v>
      </c>
      <c r="X9" s="1325" t="s">
        <v>426</v>
      </c>
      <c r="Y9" s="1325" t="s">
        <v>427</v>
      </c>
      <c r="Z9" s="1325" t="s">
        <v>428</v>
      </c>
    </row>
    <row r="10" spans="1:26" s="368" customFormat="1" ht="26.25" customHeight="1">
      <c r="A10" s="1332"/>
      <c r="B10" s="1333" t="s">
        <v>472</v>
      </c>
      <c r="C10" s="1332"/>
      <c r="D10" s="1332"/>
      <c r="E10" s="1332"/>
      <c r="F10" s="1332"/>
      <c r="G10" s="1334"/>
      <c r="H10" s="1332"/>
      <c r="I10" s="1332"/>
      <c r="J10" s="1332"/>
      <c r="K10" s="1332"/>
      <c r="L10" s="1332"/>
      <c r="M10" s="1332"/>
      <c r="N10" s="1332"/>
      <c r="O10" s="1332"/>
      <c r="P10" s="1332"/>
      <c r="Q10" s="1332"/>
      <c r="R10" s="1332"/>
      <c r="S10" s="1332"/>
      <c r="T10" s="1332"/>
      <c r="U10" s="1332"/>
      <c r="V10" s="1332"/>
      <c r="W10" s="1332"/>
      <c r="X10" s="1332"/>
      <c r="Y10" s="1332"/>
      <c r="Z10" s="1332"/>
    </row>
    <row r="11" spans="1:26" s="368" customFormat="1" ht="26.25" customHeight="1">
      <c r="A11" s="1335">
        <v>1</v>
      </c>
      <c r="B11" s="1332" t="s">
        <v>555</v>
      </c>
      <c r="C11" s="1332"/>
      <c r="D11" s="1332"/>
      <c r="E11" s="1332"/>
      <c r="F11" s="1332"/>
      <c r="G11" s="1334"/>
      <c r="H11" s="1332"/>
      <c r="I11" s="1332"/>
      <c r="J11" s="1332"/>
      <c r="K11" s="1332"/>
      <c r="L11" s="1332"/>
      <c r="M11" s="1332"/>
      <c r="N11" s="1332"/>
      <c r="O11" s="1332"/>
      <c r="P11" s="1332"/>
      <c r="Q11" s="1332"/>
      <c r="R11" s="1332"/>
      <c r="S11" s="1332"/>
      <c r="T11" s="1332"/>
      <c r="U11" s="1332"/>
      <c r="V11" s="1332"/>
      <c r="W11" s="1332"/>
      <c r="X11" s="1332"/>
      <c r="Y11" s="1332"/>
      <c r="Z11" s="1332"/>
    </row>
    <row r="12" spans="1:26" s="368" customFormat="1" ht="31.9" customHeight="1">
      <c r="A12" s="1328" t="s">
        <v>1171</v>
      </c>
      <c r="B12" s="1327"/>
      <c r="C12" s="1327"/>
      <c r="D12" s="1327"/>
      <c r="E12" s="1327"/>
      <c r="F12" s="1327"/>
      <c r="G12" s="1330"/>
      <c r="H12" s="1327"/>
      <c r="I12" s="1327"/>
      <c r="J12" s="1327"/>
      <c r="K12" s="1327"/>
      <c r="L12" s="1327"/>
      <c r="M12" s="1327"/>
      <c r="N12" s="1327"/>
      <c r="O12" s="1327"/>
      <c r="P12" s="1327"/>
      <c r="Q12" s="1327"/>
      <c r="R12" s="1327"/>
      <c r="S12" s="1327"/>
      <c r="T12" s="1327"/>
      <c r="U12" s="1327"/>
      <c r="V12" s="1327"/>
      <c r="W12" s="1327"/>
      <c r="X12" s="1327"/>
      <c r="Y12" s="1327"/>
      <c r="Z12" s="1327"/>
    </row>
  </sheetData>
  <mergeCells count="32">
    <mergeCell ref="Y7:Y8"/>
    <mergeCell ref="Z7:Z8"/>
    <mergeCell ref="A2:Z2"/>
    <mergeCell ref="N7:O7"/>
    <mergeCell ref="P7:P8"/>
    <mergeCell ref="Q7:Q8"/>
    <mergeCell ref="R7:R8"/>
    <mergeCell ref="U7:U8"/>
    <mergeCell ref="V7:W7"/>
    <mergeCell ref="A3:Z3"/>
    <mergeCell ref="A4:Z4"/>
    <mergeCell ref="H7:H8"/>
    <mergeCell ref="I7:I8"/>
    <mergeCell ref="J7:J8"/>
    <mergeCell ref="M7:M8"/>
    <mergeCell ref="X7:X8"/>
    <mergeCell ref="A5:A8"/>
    <mergeCell ref="B5:B8"/>
    <mergeCell ref="T6:T8"/>
    <mergeCell ref="U6:Z6"/>
    <mergeCell ref="E7:E8"/>
    <mergeCell ref="F7:G7"/>
    <mergeCell ref="C5:J5"/>
    <mergeCell ref="K5:R5"/>
    <mergeCell ref="S5:Z5"/>
    <mergeCell ref="C6:C8"/>
    <mergeCell ref="D6:D8"/>
    <mergeCell ref="E6:J6"/>
    <mergeCell ref="K6:K8"/>
    <mergeCell ref="L6:L8"/>
    <mergeCell ref="M6:R6"/>
    <mergeCell ref="S6:S8"/>
  </mergeCells>
  <pageMargins left="0.28000000000000003" right="0.2" top="0.51" bottom="0.25" header="0.33" footer="0.19"/>
  <pageSetup paperSize="8" scale="98" firstPageNumber="157" orientation="landscape" useFirstPageNumber="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C000"/>
  </sheetPr>
  <dimension ref="A1:H10"/>
  <sheetViews>
    <sheetView workbookViewId="0">
      <selection sqref="A1:C1"/>
    </sheetView>
  </sheetViews>
  <sheetFormatPr defaultColWidth="9.28515625" defaultRowHeight="15"/>
  <cols>
    <col min="1" max="1" width="6.28515625" style="389" customWidth="1"/>
    <col min="2" max="2" width="21.5703125" style="389" customWidth="1"/>
    <col min="3" max="3" width="21.7109375" style="902" customWidth="1"/>
    <col min="4" max="4" width="20.5703125" style="902" customWidth="1"/>
    <col min="5" max="5" width="20" style="902" customWidth="1"/>
    <col min="6" max="6" width="13.7109375" style="902" customWidth="1"/>
    <col min="7" max="7" width="17.28515625" style="902" customWidth="1"/>
    <col min="8" max="8" width="18" style="902" customWidth="1"/>
    <col min="9" max="16384" width="9.28515625" style="389"/>
  </cols>
  <sheetData>
    <row r="1" spans="1:8" ht="16.5" customHeight="1">
      <c r="A1" s="1679" t="s">
        <v>720</v>
      </c>
      <c r="B1" s="1679"/>
      <c r="C1" s="1679"/>
      <c r="G1" s="1741" t="s">
        <v>1165</v>
      </c>
      <c r="H1" s="1741"/>
    </row>
    <row r="2" spans="1:8" ht="19.5" customHeight="1">
      <c r="A2" s="1681" t="s">
        <v>1166</v>
      </c>
      <c r="B2" s="1681"/>
      <c r="C2" s="1681"/>
      <c r="D2" s="1681"/>
      <c r="E2" s="1681"/>
      <c r="F2" s="1681"/>
      <c r="G2" s="1681"/>
      <c r="H2" s="1681"/>
    </row>
    <row r="3" spans="1:8" ht="19.5" customHeight="1">
      <c r="A3" s="1686" t="str">
        <f>'58'!A3:V3</f>
        <v>(Kèm theo Quyết định số      /QĐ-UBND ngày 15/04/2026 nhân dân xã Trần Phú)</v>
      </c>
      <c r="B3" s="1686"/>
      <c r="C3" s="1686"/>
      <c r="D3" s="1686"/>
      <c r="E3" s="1686"/>
      <c r="F3" s="1686"/>
      <c r="G3" s="1686"/>
      <c r="H3" s="1686"/>
    </row>
    <row r="4" spans="1:8" ht="15.75">
      <c r="G4" s="1744" t="s">
        <v>312</v>
      </c>
      <c r="H4" s="1744"/>
    </row>
    <row r="5" spans="1:8" s="903" customFormat="1" ht="21.75" customHeight="1">
      <c r="A5" s="1742" t="s">
        <v>313</v>
      </c>
      <c r="B5" s="1742" t="s">
        <v>1033</v>
      </c>
      <c r="C5" s="1743" t="s">
        <v>429</v>
      </c>
      <c r="D5" s="1743" t="s">
        <v>248</v>
      </c>
      <c r="E5" s="1743"/>
      <c r="F5" s="1743"/>
      <c r="G5" s="1743"/>
      <c r="H5" s="1743"/>
    </row>
    <row r="6" spans="1:8" s="217" customFormat="1" ht="72.75" customHeight="1">
      <c r="A6" s="1742"/>
      <c r="B6" s="1742"/>
      <c r="C6" s="1743"/>
      <c r="D6" s="904" t="s">
        <v>430</v>
      </c>
      <c r="E6" s="904" t="s">
        <v>431</v>
      </c>
      <c r="F6" s="904" t="s">
        <v>432</v>
      </c>
      <c r="G6" s="904" t="s">
        <v>398</v>
      </c>
      <c r="H6" s="904" t="s">
        <v>433</v>
      </c>
    </row>
    <row r="7" spans="1:8" s="907" customFormat="1" ht="21" customHeight="1">
      <c r="A7" s="905" t="s">
        <v>316</v>
      </c>
      <c r="B7" s="905" t="s">
        <v>317</v>
      </c>
      <c r="C7" s="906">
        <v>1</v>
      </c>
      <c r="D7" s="906">
        <v>2</v>
      </c>
      <c r="E7" s="906">
        <v>3</v>
      </c>
      <c r="F7" s="906">
        <v>4</v>
      </c>
      <c r="G7" s="906">
        <v>5</v>
      </c>
      <c r="H7" s="906">
        <v>6</v>
      </c>
    </row>
    <row r="8" spans="1:8" s="217" customFormat="1" ht="24" customHeight="1">
      <c r="A8" s="206"/>
      <c r="B8" s="206" t="s">
        <v>472</v>
      </c>
      <c r="C8" s="908">
        <f t="shared" ref="C8:H8" si="0">SUM(C9:C9)</f>
        <v>138250.391913</v>
      </c>
      <c r="D8" s="908">
        <f t="shared" si="0"/>
        <v>11</v>
      </c>
      <c r="E8" s="908">
        <f t="shared" si="0"/>
        <v>128479.174793</v>
      </c>
      <c r="F8" s="908">
        <f t="shared" si="0"/>
        <v>0</v>
      </c>
      <c r="G8" s="908">
        <f t="shared" si="0"/>
        <v>9537.7845269999998</v>
      </c>
      <c r="H8" s="908">
        <f t="shared" si="0"/>
        <v>222.432593</v>
      </c>
    </row>
    <row r="9" spans="1:8" s="217" customFormat="1" ht="27" customHeight="1">
      <c r="A9" s="909">
        <v>1</v>
      </c>
      <c r="B9" s="910" t="s">
        <v>1196</v>
      </c>
      <c r="C9" s="911">
        <f>SUM(D9:H9)</f>
        <v>138250.391913</v>
      </c>
      <c r="D9" s="911">
        <v>11</v>
      </c>
      <c r="E9" s="911">
        <v>128479.174793</v>
      </c>
      <c r="F9" s="911"/>
      <c r="G9" s="911">
        <f>+'48.QTCĐNSĐP'!D17</f>
        <v>9537.7845269999998</v>
      </c>
      <c r="H9" s="911">
        <f>+'48.QTCĐNSĐP'!D16</f>
        <v>222.432593</v>
      </c>
    </row>
    <row r="10" spans="1:8" ht="15.75">
      <c r="B10" s="903"/>
      <c r="C10" s="912"/>
    </row>
  </sheetData>
  <mergeCells count="9">
    <mergeCell ref="G1:H1"/>
    <mergeCell ref="A2:H2"/>
    <mergeCell ref="A5:A6"/>
    <mergeCell ref="B5:B6"/>
    <mergeCell ref="C5:C6"/>
    <mergeCell ref="D5:H5"/>
    <mergeCell ref="G4:H4"/>
    <mergeCell ref="A1:C1"/>
    <mergeCell ref="A3:H3"/>
  </mergeCells>
  <phoneticPr fontId="32" type="noConversion"/>
  <pageMargins left="0.57999999999999996" right="0.2" top="0.59" bottom="0.28000000000000003" header="0.2" footer="0.2"/>
  <pageSetup paperSize="9" firstPageNumber="157" orientation="landscape" useFirstPageNumber="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C000"/>
  </sheetPr>
  <dimension ref="A1:AD43"/>
  <sheetViews>
    <sheetView zoomScale="130" zoomScaleNormal="130" workbookViewId="0">
      <pane xSplit="2" ySplit="9" topLeftCell="C10" activePane="bottomRight" state="frozen"/>
      <selection pane="topRight" activeCell="C1" sqref="C1"/>
      <selection pane="bottomLeft" activeCell="A9" sqref="A9"/>
      <selection pane="bottomRight" activeCell="A17" sqref="A17:AD17"/>
    </sheetView>
  </sheetViews>
  <sheetFormatPr defaultColWidth="8.5703125" defaultRowHeight="15"/>
  <cols>
    <col min="1" max="1" width="4" style="1028" bestFit="1" customWidth="1"/>
    <col min="2" max="2" width="12.42578125" style="918" customWidth="1"/>
    <col min="3" max="3" width="11" style="58" customWidth="1"/>
    <col min="4" max="5" width="10.7109375" style="58" customWidth="1"/>
    <col min="6" max="6" width="10" style="58" customWidth="1"/>
    <col min="7" max="7" width="4.7109375" style="58" customWidth="1"/>
    <col min="8" max="8" width="10" style="58" customWidth="1"/>
    <col min="9" max="9" width="10.42578125" style="58" customWidth="1"/>
    <col min="10" max="10" width="10.5703125" style="391" customWidth="1"/>
    <col min="11" max="11" width="9.140625" style="58" customWidth="1"/>
    <col min="12" max="12" width="10.85546875" style="58" customWidth="1"/>
    <col min="13" max="13" width="10.7109375" style="391" customWidth="1"/>
    <col min="14" max="14" width="10.7109375" style="58" customWidth="1"/>
    <col min="15" max="15" width="10.85546875" style="58" customWidth="1"/>
    <col min="16" max="16" width="11" style="391" customWidth="1"/>
    <col min="17" max="17" width="10.85546875" style="58" customWidth="1"/>
    <col min="18" max="18" width="11.140625" style="58" customWidth="1"/>
    <col min="19" max="19" width="5.7109375" style="58" customWidth="1"/>
    <col min="20" max="21" width="10.42578125" style="58" customWidth="1"/>
    <col min="22" max="22" width="10.28515625" style="391" customWidth="1"/>
    <col min="23" max="23" width="9.42578125" style="58" customWidth="1"/>
    <col min="24" max="24" width="11" style="58" customWidth="1"/>
    <col min="25" max="25" width="11" style="391" customWidth="1"/>
    <col min="26" max="26" width="11.140625" style="58" customWidth="1"/>
    <col min="27" max="27" width="6.5703125" style="58" hidden="1" customWidth="1"/>
    <col min="28" max="28" width="6.7109375" style="28" customWidth="1"/>
    <col min="29" max="29" width="7.140625" style="28" customWidth="1"/>
    <col min="30" max="30" width="6.7109375" style="29" customWidth="1"/>
    <col min="31" max="16384" width="8.5703125" style="28"/>
  </cols>
  <sheetData>
    <row r="1" spans="1:30" s="31" customFormat="1" ht="12.75">
      <c r="A1" s="1757" t="s">
        <v>720</v>
      </c>
      <c r="B1" s="1757"/>
      <c r="C1" s="1757"/>
      <c r="D1" s="1757"/>
      <c r="E1" s="1025"/>
      <c r="F1" s="1025"/>
      <c r="G1" s="1025"/>
      <c r="H1" s="1025"/>
      <c r="I1" s="1026"/>
      <c r="J1" s="1754"/>
      <c r="K1" s="1754"/>
      <c r="L1" s="1025"/>
      <c r="M1" s="1754"/>
      <c r="N1" s="1754"/>
      <c r="O1" s="1025"/>
      <c r="P1" s="901"/>
      <c r="Q1" s="1025"/>
      <c r="R1" s="1025"/>
      <c r="S1" s="1025"/>
      <c r="T1" s="1025"/>
      <c r="U1" s="1026"/>
      <c r="V1" s="1754"/>
      <c r="W1" s="1754"/>
      <c r="X1" s="1025"/>
      <c r="Y1" s="901"/>
      <c r="Z1" s="1025"/>
      <c r="AA1" s="1025"/>
      <c r="AB1" s="1755" t="s">
        <v>1158</v>
      </c>
      <c r="AC1" s="1755"/>
      <c r="AD1" s="1755"/>
    </row>
    <row r="2" spans="1:30" ht="23.25" customHeight="1">
      <c r="A2" s="1664" t="s">
        <v>1157</v>
      </c>
      <c r="B2" s="1756"/>
      <c r="C2" s="1756"/>
      <c r="D2" s="1756"/>
      <c r="E2" s="1756"/>
      <c r="F2" s="1756"/>
      <c r="G2" s="1756"/>
      <c r="H2" s="1756"/>
      <c r="I2" s="1756"/>
      <c r="J2" s="1756"/>
      <c r="K2" s="1756"/>
      <c r="L2" s="1756"/>
      <c r="M2" s="1756"/>
      <c r="N2" s="1756"/>
      <c r="O2" s="1756"/>
      <c r="P2" s="1756"/>
      <c r="Q2" s="1756"/>
      <c r="R2" s="1756"/>
      <c r="S2" s="1756"/>
      <c r="T2" s="1756"/>
      <c r="U2" s="1756"/>
      <c r="V2" s="1756"/>
      <c r="W2" s="1756"/>
      <c r="X2" s="1756"/>
      <c r="Y2" s="1756"/>
      <c r="Z2" s="1756"/>
      <c r="AA2" s="1756"/>
      <c r="AB2" s="1756"/>
      <c r="AC2" s="1756"/>
      <c r="AD2" s="1756"/>
    </row>
    <row r="3" spans="1:30" ht="23.25" customHeight="1">
      <c r="A3" s="1667" t="str">
        <f>'48.QTCĐNSĐP'!A3:F3</f>
        <v>(Kèm theo Quyết định số      /QĐ-UBND ngày 15/04/2026 nhân dân xã Trần Phú)</v>
      </c>
      <c r="B3" s="1667"/>
      <c r="C3" s="1667"/>
      <c r="D3" s="1667"/>
      <c r="E3" s="1667"/>
      <c r="F3" s="1667"/>
      <c r="G3" s="1667"/>
      <c r="H3" s="1667"/>
      <c r="I3" s="1667"/>
      <c r="J3" s="1667"/>
      <c r="K3" s="1667"/>
      <c r="L3" s="1667"/>
      <c r="M3" s="1667"/>
      <c r="N3" s="1667"/>
      <c r="O3" s="1667"/>
      <c r="P3" s="1667"/>
      <c r="Q3" s="1667"/>
      <c r="R3" s="1667"/>
      <c r="S3" s="1667"/>
      <c r="T3" s="1667"/>
      <c r="U3" s="1667"/>
      <c r="V3" s="1667"/>
      <c r="W3" s="1667"/>
      <c r="X3" s="1667"/>
      <c r="Y3" s="1667"/>
      <c r="Z3" s="1667"/>
      <c r="AA3" s="1667"/>
      <c r="AB3" s="1667"/>
      <c r="AC3" s="1667"/>
      <c r="AD3" s="1667"/>
    </row>
    <row r="4" spans="1:30">
      <c r="C4" s="1029"/>
      <c r="D4" s="1030"/>
      <c r="E4" s="1030"/>
      <c r="F4" s="1031"/>
      <c r="G4" s="1760"/>
      <c r="H4" s="1760"/>
      <c r="I4" s="1015"/>
      <c r="L4" s="1761"/>
      <c r="M4" s="1761"/>
      <c r="N4" s="1032"/>
      <c r="O4" s="1033"/>
      <c r="P4" s="1034"/>
      <c r="Q4" s="1035"/>
      <c r="U4" s="1036"/>
      <c r="V4" s="1037"/>
      <c r="W4" s="1038"/>
      <c r="X4" s="1030"/>
      <c r="Y4" s="1030"/>
      <c r="Z4" s="1032"/>
      <c r="AA4" s="1032"/>
      <c r="AB4" s="1758" t="s">
        <v>216</v>
      </c>
      <c r="AC4" s="1759"/>
      <c r="AD4" s="1759"/>
    </row>
    <row r="5" spans="1:30" s="913" customFormat="1" ht="10.5" customHeight="1">
      <c r="A5" s="1767" t="s">
        <v>313</v>
      </c>
      <c r="B5" s="1753" t="s">
        <v>145</v>
      </c>
      <c r="C5" s="1745" t="s">
        <v>315</v>
      </c>
      <c r="D5" s="1751"/>
      <c r="E5" s="1751"/>
      <c r="F5" s="1751"/>
      <c r="G5" s="1751"/>
      <c r="H5" s="1751"/>
      <c r="I5" s="1751"/>
      <c r="J5" s="1751"/>
      <c r="K5" s="1751"/>
      <c r="L5" s="1751"/>
      <c r="M5" s="1751"/>
      <c r="N5" s="1751"/>
      <c r="O5" s="1745" t="s">
        <v>146</v>
      </c>
      <c r="P5" s="1751"/>
      <c r="Q5" s="1751"/>
      <c r="R5" s="1751"/>
      <c r="S5" s="1751"/>
      <c r="T5" s="1751"/>
      <c r="U5" s="1751"/>
      <c r="V5" s="1751"/>
      <c r="W5" s="1751"/>
      <c r="X5" s="1751"/>
      <c r="Y5" s="1751"/>
      <c r="Z5" s="1751"/>
      <c r="AA5" s="1752" t="s">
        <v>710</v>
      </c>
      <c r="AB5" s="1753" t="s">
        <v>167</v>
      </c>
      <c r="AC5" s="1753"/>
      <c r="AD5" s="1753"/>
    </row>
    <row r="6" spans="1:30" s="913" customFormat="1" ht="20.25" customHeight="1">
      <c r="A6" s="1767"/>
      <c r="B6" s="1753"/>
      <c r="C6" s="1752" t="s">
        <v>152</v>
      </c>
      <c r="D6" s="1752" t="s">
        <v>248</v>
      </c>
      <c r="E6" s="1752"/>
      <c r="F6" s="1745" t="s">
        <v>639</v>
      </c>
      <c r="G6" s="1751"/>
      <c r="H6" s="1746"/>
      <c r="I6" s="1745" t="s">
        <v>640</v>
      </c>
      <c r="J6" s="1751"/>
      <c r="K6" s="1746"/>
      <c r="L6" s="1745" t="s">
        <v>641</v>
      </c>
      <c r="M6" s="1751"/>
      <c r="N6" s="1746"/>
      <c r="O6" s="1752" t="s">
        <v>152</v>
      </c>
      <c r="P6" s="1752" t="s">
        <v>248</v>
      </c>
      <c r="Q6" s="1752"/>
      <c r="R6" s="1745" t="s">
        <v>639</v>
      </c>
      <c r="S6" s="1751"/>
      <c r="T6" s="1746"/>
      <c r="U6" s="1745" t="s">
        <v>640</v>
      </c>
      <c r="V6" s="1751"/>
      <c r="W6" s="1746"/>
      <c r="X6" s="1745" t="s">
        <v>641</v>
      </c>
      <c r="Y6" s="1751"/>
      <c r="Z6" s="1751"/>
      <c r="AA6" s="1752"/>
      <c r="AB6" s="1753" t="s">
        <v>152</v>
      </c>
      <c r="AC6" s="1753" t="s">
        <v>248</v>
      </c>
      <c r="AD6" s="1753"/>
    </row>
    <row r="7" spans="1:30" s="913" customFormat="1" ht="15" customHeight="1">
      <c r="A7" s="1767"/>
      <c r="B7" s="1753"/>
      <c r="C7" s="1752"/>
      <c r="D7" s="1752" t="s">
        <v>434</v>
      </c>
      <c r="E7" s="1752" t="s">
        <v>435</v>
      </c>
      <c r="F7" s="1752" t="s">
        <v>152</v>
      </c>
      <c r="G7" s="1745" t="s">
        <v>248</v>
      </c>
      <c r="H7" s="1746"/>
      <c r="I7" s="1752" t="s">
        <v>152</v>
      </c>
      <c r="J7" s="1745" t="s">
        <v>248</v>
      </c>
      <c r="K7" s="1746"/>
      <c r="L7" s="1752" t="s">
        <v>152</v>
      </c>
      <c r="M7" s="1745" t="s">
        <v>248</v>
      </c>
      <c r="N7" s="1746"/>
      <c r="O7" s="1752"/>
      <c r="P7" s="1762" t="s">
        <v>434</v>
      </c>
      <c r="Q7" s="1752" t="s">
        <v>435</v>
      </c>
      <c r="R7" s="1752" t="s">
        <v>152</v>
      </c>
      <c r="S7" s="1745" t="s">
        <v>248</v>
      </c>
      <c r="T7" s="1746"/>
      <c r="U7" s="1752" t="s">
        <v>152</v>
      </c>
      <c r="V7" s="1745" t="s">
        <v>248</v>
      </c>
      <c r="W7" s="1746"/>
      <c r="X7" s="1752" t="s">
        <v>152</v>
      </c>
      <c r="Y7" s="1745" t="s">
        <v>248</v>
      </c>
      <c r="Z7" s="1751"/>
      <c r="AA7" s="1752"/>
      <c r="AB7" s="1753"/>
      <c r="AC7" s="1753" t="s">
        <v>77</v>
      </c>
      <c r="AD7" s="1764" t="s">
        <v>471</v>
      </c>
    </row>
    <row r="8" spans="1:30" s="913" customFormat="1" ht="10.15" customHeight="1">
      <c r="A8" s="1767"/>
      <c r="B8" s="1753"/>
      <c r="C8" s="1752"/>
      <c r="D8" s="1752"/>
      <c r="E8" s="1752"/>
      <c r="F8" s="1752"/>
      <c r="G8" s="1749" t="s">
        <v>434</v>
      </c>
      <c r="H8" s="1749" t="s">
        <v>435</v>
      </c>
      <c r="I8" s="1752"/>
      <c r="J8" s="1747" t="s">
        <v>434</v>
      </c>
      <c r="K8" s="1749" t="s">
        <v>435</v>
      </c>
      <c r="L8" s="1752"/>
      <c r="M8" s="1747" t="s">
        <v>558</v>
      </c>
      <c r="N8" s="1749" t="s">
        <v>435</v>
      </c>
      <c r="O8" s="1752"/>
      <c r="P8" s="1762"/>
      <c r="Q8" s="1752"/>
      <c r="R8" s="1752"/>
      <c r="S8" s="1749" t="s">
        <v>434</v>
      </c>
      <c r="T8" s="1749" t="s">
        <v>435</v>
      </c>
      <c r="U8" s="1752"/>
      <c r="V8" s="1747" t="s">
        <v>434</v>
      </c>
      <c r="W8" s="1749" t="s">
        <v>435</v>
      </c>
      <c r="X8" s="1752"/>
      <c r="Y8" s="1747" t="s">
        <v>558</v>
      </c>
      <c r="Z8" s="1765" t="s">
        <v>435</v>
      </c>
      <c r="AA8" s="1752"/>
      <c r="AB8" s="1753"/>
      <c r="AC8" s="1753"/>
      <c r="AD8" s="1764"/>
    </row>
    <row r="9" spans="1:30" s="913" customFormat="1" ht="24.75" customHeight="1">
      <c r="A9" s="1767"/>
      <c r="B9" s="1753"/>
      <c r="C9" s="1752"/>
      <c r="D9" s="1752"/>
      <c r="E9" s="1752"/>
      <c r="F9" s="1752"/>
      <c r="G9" s="1750"/>
      <c r="H9" s="1750"/>
      <c r="I9" s="1752"/>
      <c r="J9" s="1748"/>
      <c r="K9" s="1750"/>
      <c r="L9" s="1752"/>
      <c r="M9" s="1748"/>
      <c r="N9" s="1750"/>
      <c r="O9" s="1752"/>
      <c r="P9" s="1762"/>
      <c r="Q9" s="1752"/>
      <c r="R9" s="1752"/>
      <c r="S9" s="1750"/>
      <c r="T9" s="1750"/>
      <c r="U9" s="1752"/>
      <c r="V9" s="1748"/>
      <c r="W9" s="1750"/>
      <c r="X9" s="1752"/>
      <c r="Y9" s="1748"/>
      <c r="Z9" s="1766"/>
      <c r="AA9" s="1752"/>
      <c r="AB9" s="1753"/>
      <c r="AC9" s="1753"/>
      <c r="AD9" s="1764"/>
    </row>
    <row r="10" spans="1:30" s="1043" customFormat="1" ht="12.75" customHeight="1">
      <c r="A10" s="1039" t="s">
        <v>316</v>
      </c>
      <c r="B10" s="1040" t="s">
        <v>317</v>
      </c>
      <c r="C10" s="1041">
        <v>1</v>
      </c>
      <c r="D10" s="1041">
        <v>2</v>
      </c>
      <c r="E10" s="1041">
        <v>3</v>
      </c>
      <c r="F10" s="1041">
        <v>4</v>
      </c>
      <c r="G10" s="1041">
        <v>5</v>
      </c>
      <c r="H10" s="1041">
        <v>6</v>
      </c>
      <c r="I10" s="1041">
        <v>10</v>
      </c>
      <c r="J10" s="1041">
        <v>11</v>
      </c>
      <c r="K10" s="1041">
        <v>12</v>
      </c>
      <c r="L10" s="1041">
        <v>13</v>
      </c>
      <c r="M10" s="1041">
        <v>14</v>
      </c>
      <c r="N10" s="1041">
        <v>15</v>
      </c>
      <c r="O10" s="1041">
        <v>16</v>
      </c>
      <c r="P10" s="1041">
        <v>17</v>
      </c>
      <c r="Q10" s="1041">
        <v>18</v>
      </c>
      <c r="R10" s="1041">
        <v>19</v>
      </c>
      <c r="S10" s="1041">
        <v>20</v>
      </c>
      <c r="T10" s="1041">
        <v>21</v>
      </c>
      <c r="U10" s="1041">
        <v>25</v>
      </c>
      <c r="V10" s="1041">
        <v>26</v>
      </c>
      <c r="W10" s="1041">
        <v>27</v>
      </c>
      <c r="X10" s="1041">
        <v>28</v>
      </c>
      <c r="Y10" s="1041">
        <v>29</v>
      </c>
      <c r="Z10" s="1041">
        <v>30</v>
      </c>
      <c r="AA10" s="1042"/>
      <c r="AB10" s="1041">
        <v>31</v>
      </c>
      <c r="AC10" s="1041">
        <v>32</v>
      </c>
      <c r="AD10" s="1041">
        <v>33</v>
      </c>
    </row>
    <row r="11" spans="1:30" s="1088" customFormat="1" ht="26.25" customHeight="1">
      <c r="A11" s="1311"/>
      <c r="B11" s="1312" t="s">
        <v>472</v>
      </c>
      <c r="C11" s="1313">
        <f>+SUM(C12:C16)</f>
        <v>31684.115712999999</v>
      </c>
      <c r="D11" s="1313">
        <f>+SUM(D12:D16)</f>
        <v>19283.097439000001</v>
      </c>
      <c r="E11" s="1313">
        <f>+SUM(E12:E16)</f>
        <v>12401.018274</v>
      </c>
      <c r="F11" s="1313">
        <f t="shared" ref="F11:AA11" si="0">+SUM(F12:F16)</f>
        <v>2606.3012839999997</v>
      </c>
      <c r="G11" s="1313">
        <f t="shared" si="0"/>
        <v>0</v>
      </c>
      <c r="H11" s="1313">
        <f t="shared" si="0"/>
        <v>2606.3012839999997</v>
      </c>
      <c r="I11" s="1313">
        <f t="shared" si="0"/>
        <v>3343.5129580000003</v>
      </c>
      <c r="J11" s="1313">
        <f t="shared" si="0"/>
        <v>2883.7910000000002</v>
      </c>
      <c r="K11" s="1313">
        <f t="shared" si="0"/>
        <v>459.72195800000003</v>
      </c>
      <c r="L11" s="1313">
        <f t="shared" si="0"/>
        <v>25734.301470999999</v>
      </c>
      <c r="M11" s="1313">
        <f t="shared" si="0"/>
        <v>16399.306439</v>
      </c>
      <c r="N11" s="1313">
        <f t="shared" si="0"/>
        <v>9334.9950320000007</v>
      </c>
      <c r="O11" s="1313">
        <f>+SUM(O12:O16)</f>
        <v>29126.469159999997</v>
      </c>
      <c r="P11" s="1313">
        <f t="shared" si="0"/>
        <v>18257.162093999999</v>
      </c>
      <c r="Q11" s="1313">
        <f t="shared" si="0"/>
        <v>10869.307065999999</v>
      </c>
      <c r="R11" s="1313">
        <f t="shared" si="0"/>
        <v>2178.838612</v>
      </c>
      <c r="S11" s="1313">
        <f t="shared" si="0"/>
        <v>0</v>
      </c>
      <c r="T11" s="1313">
        <f t="shared" si="0"/>
        <v>2178.838612</v>
      </c>
      <c r="U11" s="1313">
        <f t="shared" si="0"/>
        <v>3180.7089999999998</v>
      </c>
      <c r="V11" s="1313">
        <f t="shared" si="0"/>
        <v>2883.3989999999999</v>
      </c>
      <c r="W11" s="1313">
        <f t="shared" si="0"/>
        <v>297.31</v>
      </c>
      <c r="X11" s="1313">
        <f t="shared" si="0"/>
        <v>23766.921547999998</v>
      </c>
      <c r="Y11" s="1313">
        <f t="shared" si="0"/>
        <v>15373.763094</v>
      </c>
      <c r="Z11" s="1313">
        <f t="shared" si="0"/>
        <v>8393.1584540000003</v>
      </c>
      <c r="AA11" s="1313">
        <f t="shared" si="0"/>
        <v>0</v>
      </c>
      <c r="AB11" s="1573">
        <f t="shared" ref="AB11" si="1">O11/C11*100</f>
        <v>91.92766944746829</v>
      </c>
      <c r="AC11" s="1573">
        <f>P11/D11*100</f>
        <v>94.679613333669877</v>
      </c>
      <c r="AD11" s="1573">
        <f t="shared" ref="AD11" si="2">Q11/E11*100</f>
        <v>87.648504548925715</v>
      </c>
    </row>
    <row r="12" spans="1:30" s="1318" customFormat="1" ht="27.75" customHeight="1">
      <c r="A12" s="1314">
        <v>1</v>
      </c>
      <c r="B12" s="1315" t="s">
        <v>1160</v>
      </c>
      <c r="C12" s="838">
        <f t="shared" ref="C12:C15" si="3">+F12+I12+L12</f>
        <v>93.7</v>
      </c>
      <c r="D12" s="838">
        <f>G12+J12+M12</f>
        <v>0</v>
      </c>
      <c r="E12" s="838">
        <f>+H12++K12+N12</f>
        <v>93.7</v>
      </c>
      <c r="F12" s="838">
        <f t="shared" ref="F12:F13" si="4">+G12+H12</f>
        <v>0</v>
      </c>
      <c r="G12" s="1316"/>
      <c r="H12" s="1316"/>
      <c r="I12" s="838">
        <f t="shared" ref="I12:I13" si="5">J12+K12</f>
        <v>0</v>
      </c>
      <c r="J12" s="1316"/>
      <c r="K12" s="1316"/>
      <c r="L12" s="838">
        <f t="shared" ref="L12:L13" si="6">M12+N12</f>
        <v>93.7</v>
      </c>
      <c r="M12" s="1316"/>
      <c r="N12" s="1316">
        <v>93.7</v>
      </c>
      <c r="O12" s="838">
        <f t="shared" ref="O12:O13" si="7">+P12+Q12</f>
        <v>85.059920000000005</v>
      </c>
      <c r="P12" s="838">
        <f t="shared" ref="P12:P15" si="8">+S12++V12+Y12</f>
        <v>0</v>
      </c>
      <c r="Q12" s="838">
        <f t="shared" ref="Q12:Q14" si="9">T12+W12+Z12</f>
        <v>85.059920000000005</v>
      </c>
      <c r="R12" s="838">
        <f t="shared" ref="R12:R13" si="10">+S12+T12</f>
        <v>0</v>
      </c>
      <c r="S12" s="1316"/>
      <c r="T12" s="1316"/>
      <c r="U12" s="838">
        <f t="shared" ref="U12:U13" si="11">+V12+W12</f>
        <v>0</v>
      </c>
      <c r="V12" s="1316"/>
      <c r="W12" s="1316"/>
      <c r="X12" s="838">
        <f t="shared" ref="X12:X13" si="12">+Y12+Z12</f>
        <v>85.059920000000005</v>
      </c>
      <c r="Y12" s="1316"/>
      <c r="Z12" s="1316">
        <v>85.059920000000005</v>
      </c>
      <c r="AA12" s="1316"/>
      <c r="AB12" s="1572">
        <f t="shared" ref="AB12:AD15" si="13">O12/C12*100</f>
        <v>90.778996798292425</v>
      </c>
      <c r="AC12" s="1572"/>
      <c r="AD12" s="1572">
        <f t="shared" si="13"/>
        <v>90.778996798292425</v>
      </c>
    </row>
    <row r="13" spans="1:30" s="1318" customFormat="1" ht="29.25" customHeight="1">
      <c r="A13" s="1314">
        <v>2</v>
      </c>
      <c r="B13" s="1315" t="s">
        <v>1161</v>
      </c>
      <c r="C13" s="838">
        <f t="shared" si="3"/>
        <v>29839.778155</v>
      </c>
      <c r="D13" s="838">
        <f>G13+J13+M13</f>
        <v>19283.097439000001</v>
      </c>
      <c r="E13" s="838">
        <f t="shared" ref="E13:E14" si="14">+H13++K13+N13</f>
        <v>10556.680715999999</v>
      </c>
      <c r="F13" s="838">
        <f t="shared" si="4"/>
        <v>2448.3512839999999</v>
      </c>
      <c r="G13" s="1316"/>
      <c r="H13" s="1316">
        <f>2599.441284-151.09</f>
        <v>2448.3512839999999</v>
      </c>
      <c r="I13" s="838">
        <f t="shared" si="5"/>
        <v>3343.4760000000001</v>
      </c>
      <c r="J13" s="1316">
        <v>2883.7910000000002</v>
      </c>
      <c r="K13" s="1316">
        <v>459.685</v>
      </c>
      <c r="L13" s="1321">
        <f t="shared" si="6"/>
        <v>24047.950871000001</v>
      </c>
      <c r="M13" s="1321">
        <f>12444.428755+3954.877684</f>
        <v>16399.306439</v>
      </c>
      <c r="N13" s="1321">
        <f>7192.972896+455.671536</f>
        <v>7648.6444320000001</v>
      </c>
      <c r="O13" s="838">
        <f t="shared" si="7"/>
        <v>27936.961799999997</v>
      </c>
      <c r="P13" s="838">
        <f t="shared" si="8"/>
        <v>18257.162093999999</v>
      </c>
      <c r="Q13" s="838">
        <f t="shared" si="9"/>
        <v>9679.7997059999998</v>
      </c>
      <c r="R13" s="838">
        <f t="shared" si="10"/>
        <v>2091.0056119999999</v>
      </c>
      <c r="S13" s="1316"/>
      <c r="T13" s="1316">
        <v>2091.0056119999999</v>
      </c>
      <c r="U13" s="838">
        <f t="shared" si="11"/>
        <v>3180.7089999999998</v>
      </c>
      <c r="V13" s="1316">
        <v>2883.3989999999999</v>
      </c>
      <c r="W13" s="1316">
        <v>297.31</v>
      </c>
      <c r="X13" s="838">
        <f t="shared" si="12"/>
        <v>22665.247188000001</v>
      </c>
      <c r="Y13" s="1316">
        <f>3299.049794+12074.7133</f>
        <v>15373.763094</v>
      </c>
      <c r="Z13" s="1316">
        <v>7291.4840940000004</v>
      </c>
      <c r="AA13" s="1316"/>
      <c r="AB13" s="1317">
        <f t="shared" si="13"/>
        <v>93.623222179749462</v>
      </c>
      <c r="AC13" s="1317">
        <f t="shared" si="13"/>
        <v>94.679613333669877</v>
      </c>
      <c r="AD13" s="1317">
        <f t="shared" si="13"/>
        <v>91.693591635569931</v>
      </c>
    </row>
    <row r="14" spans="1:30" s="1318" customFormat="1" ht="27" customHeight="1">
      <c r="A14" s="1314">
        <v>3</v>
      </c>
      <c r="B14" s="1315" t="s">
        <v>1162</v>
      </c>
      <c r="C14" s="838">
        <f t="shared" si="3"/>
        <v>916.64059999999995</v>
      </c>
      <c r="D14" s="838">
        <f t="shared" ref="D14:D15" si="15">+G14++J14+M14</f>
        <v>0</v>
      </c>
      <c r="E14" s="838">
        <f t="shared" si="14"/>
        <v>916.64059999999995</v>
      </c>
      <c r="F14" s="838">
        <f>+G14+H14</f>
        <v>140</v>
      </c>
      <c r="G14" s="1316"/>
      <c r="H14" s="1316">
        <v>140</v>
      </c>
      <c r="I14" s="838">
        <f>J14+K14</f>
        <v>0</v>
      </c>
      <c r="J14" s="1316"/>
      <c r="K14" s="1316"/>
      <c r="L14" s="1321">
        <f>M14+N14</f>
        <v>776.64059999999995</v>
      </c>
      <c r="M14" s="1321">
        <v>0</v>
      </c>
      <c r="N14" s="1321">
        <v>776.64059999999995</v>
      </c>
      <c r="O14" s="838">
        <f>+P14+Q14</f>
        <v>837.43743999999992</v>
      </c>
      <c r="P14" s="838">
        <f t="shared" si="8"/>
        <v>0</v>
      </c>
      <c r="Q14" s="838">
        <f t="shared" si="9"/>
        <v>837.43743999999992</v>
      </c>
      <c r="R14" s="838">
        <f>+S14+T14</f>
        <v>87.832999999999998</v>
      </c>
      <c r="S14" s="1316"/>
      <c r="T14" s="1316">
        <v>87.832999999999998</v>
      </c>
      <c r="U14" s="838">
        <f>+V14+W14</f>
        <v>0</v>
      </c>
      <c r="V14" s="1316"/>
      <c r="W14" s="1316"/>
      <c r="X14" s="838">
        <f>+Y14+Z14</f>
        <v>749.60443999999995</v>
      </c>
      <c r="Y14" s="1316"/>
      <c r="Z14" s="1316">
        <v>749.60443999999995</v>
      </c>
      <c r="AA14" s="1316"/>
      <c r="AB14" s="1317">
        <f t="shared" si="13"/>
        <v>91.359409565755641</v>
      </c>
      <c r="AC14" s="1317"/>
      <c r="AD14" s="1317">
        <f>Q14/E14*100</f>
        <v>91.359409565755641</v>
      </c>
    </row>
    <row r="15" spans="1:30" s="1318" customFormat="1" ht="30" customHeight="1">
      <c r="A15" s="1314">
        <v>4</v>
      </c>
      <c r="B15" s="1315" t="s">
        <v>1163</v>
      </c>
      <c r="C15" s="838">
        <f t="shared" si="3"/>
        <v>267.01</v>
      </c>
      <c r="D15" s="838">
        <f t="shared" si="15"/>
        <v>0</v>
      </c>
      <c r="E15" s="838">
        <f>+H15+K15+N15</f>
        <v>267.01</v>
      </c>
      <c r="F15" s="838">
        <f>+G15+H15</f>
        <v>0</v>
      </c>
      <c r="G15" s="1316"/>
      <c r="H15" s="1316"/>
      <c r="I15" s="838">
        <f>J15+K15</f>
        <v>0</v>
      </c>
      <c r="J15" s="1316"/>
      <c r="K15" s="1316">
        <v>0</v>
      </c>
      <c r="L15" s="1321">
        <f>M15+N15</f>
        <v>267.01</v>
      </c>
      <c r="M15" s="1321"/>
      <c r="N15" s="1321">
        <v>267.01</v>
      </c>
      <c r="O15" s="838">
        <f>+P15+Q15</f>
        <v>267.01</v>
      </c>
      <c r="P15" s="838">
        <f t="shared" si="8"/>
        <v>0</v>
      </c>
      <c r="Q15" s="838">
        <f>T15+W15+Z15</f>
        <v>267.01</v>
      </c>
      <c r="R15" s="838">
        <f>+S15+T15</f>
        <v>0</v>
      </c>
      <c r="S15" s="1316"/>
      <c r="T15" s="1316"/>
      <c r="U15" s="838">
        <f>+V15+W15</f>
        <v>0</v>
      </c>
      <c r="V15" s="1316"/>
      <c r="W15" s="1316"/>
      <c r="X15" s="838">
        <f>+Y15+Z15</f>
        <v>267.01</v>
      </c>
      <c r="Y15" s="1316"/>
      <c r="Z15" s="1316">
        <v>267.01</v>
      </c>
      <c r="AA15" s="1316"/>
      <c r="AB15" s="1317">
        <f t="shared" si="13"/>
        <v>100</v>
      </c>
      <c r="AC15" s="1317"/>
      <c r="AD15" s="1317">
        <f t="shared" si="13"/>
        <v>100</v>
      </c>
    </row>
    <row r="16" spans="1:30" s="1318" customFormat="1" ht="23.25" customHeight="1">
      <c r="A16" s="1314">
        <v>5</v>
      </c>
      <c r="B16" s="1323" t="s">
        <v>1164</v>
      </c>
      <c r="C16" s="1319">
        <f t="shared" ref="C16" si="16">+F16+I16+L16</f>
        <v>566.98695799999996</v>
      </c>
      <c r="D16" s="1319">
        <f t="shared" ref="D16" si="17">+G16++J16+M16</f>
        <v>0</v>
      </c>
      <c r="E16" s="1319">
        <f t="shared" ref="E16" si="18">+H16++K16+N16</f>
        <v>566.98695799999996</v>
      </c>
      <c r="F16" s="1319">
        <f t="shared" ref="F16" si="19">+G16+H16</f>
        <v>17.95</v>
      </c>
      <c r="G16" s="1320"/>
      <c r="H16" s="1320">
        <v>17.95</v>
      </c>
      <c r="I16" s="1319">
        <f t="shared" ref="I16" si="20">J16+K16</f>
        <v>3.6957999999999998E-2</v>
      </c>
      <c r="J16" s="1320"/>
      <c r="K16" s="1320">
        <v>3.6957999999999998E-2</v>
      </c>
      <c r="L16" s="1322">
        <f t="shared" ref="L16" si="21">M16+N16</f>
        <v>549</v>
      </c>
      <c r="M16" s="1322">
        <v>0</v>
      </c>
      <c r="N16" s="1322">
        <v>549</v>
      </c>
      <c r="O16" s="1319">
        <f t="shared" ref="O16" si="22">+P16+Q16</f>
        <v>0</v>
      </c>
      <c r="P16" s="1319">
        <f t="shared" ref="P16" si="23">+S16++V16+Y16</f>
        <v>0</v>
      </c>
      <c r="Q16" s="1319">
        <f t="shared" ref="Q16" si="24">+T16++W16+Z16</f>
        <v>0</v>
      </c>
      <c r="R16" s="1319">
        <f t="shared" ref="R16" si="25">+S16+T16</f>
        <v>0</v>
      </c>
      <c r="S16" s="1320"/>
      <c r="T16" s="1320"/>
      <c r="U16" s="1319">
        <f t="shared" ref="U16" si="26">+V16+W16</f>
        <v>0</v>
      </c>
      <c r="V16" s="1320"/>
      <c r="W16" s="1320"/>
      <c r="X16" s="1319">
        <f t="shared" ref="X16" si="27">+Y16+Z16</f>
        <v>0</v>
      </c>
      <c r="Y16" s="1320"/>
      <c r="Z16" s="1320"/>
      <c r="AA16" s="1320"/>
      <c r="AB16" s="1324">
        <f t="shared" ref="AB16" si="28">O16/C16*100</f>
        <v>0</v>
      </c>
      <c r="AC16" s="1324"/>
      <c r="AD16" s="1324"/>
    </row>
    <row r="17" spans="1:30" ht="15.75">
      <c r="A17" s="1763"/>
      <c r="B17" s="1763"/>
      <c r="C17" s="1763"/>
      <c r="D17" s="1763"/>
      <c r="E17" s="1763"/>
      <c r="F17" s="1763"/>
      <c r="G17" s="1763"/>
      <c r="H17" s="1763"/>
      <c r="I17" s="1763"/>
      <c r="J17" s="1763"/>
      <c r="K17" s="1763"/>
      <c r="L17" s="1763"/>
      <c r="M17" s="1763"/>
      <c r="N17" s="1763"/>
      <c r="O17" s="1763"/>
      <c r="P17" s="1763"/>
      <c r="Q17" s="1763"/>
      <c r="R17" s="1763"/>
      <c r="S17" s="1763"/>
      <c r="T17" s="1763"/>
      <c r="U17" s="1763"/>
      <c r="V17" s="1763"/>
      <c r="W17" s="1763"/>
      <c r="X17" s="1763"/>
      <c r="Y17" s="1763"/>
      <c r="Z17" s="1763"/>
      <c r="AA17" s="1763"/>
      <c r="AB17" s="1763"/>
      <c r="AC17" s="1763"/>
      <c r="AD17" s="1763"/>
    </row>
    <row r="18" spans="1:30" ht="15.75" hidden="1" customHeight="1">
      <c r="A18" s="1044"/>
      <c r="N18" s="1045"/>
      <c r="O18" s="1045"/>
      <c r="P18" s="1045"/>
      <c r="Q18" s="1045"/>
      <c r="R18" s="1045"/>
      <c r="S18" s="1045"/>
      <c r="T18" s="1045"/>
      <c r="U18" s="1045"/>
      <c r="V18" s="1768" t="s">
        <v>1159</v>
      </c>
      <c r="W18" s="1768"/>
      <c r="X18" s="1768"/>
      <c r="Y18" s="1768"/>
      <c r="Z18" s="1768"/>
      <c r="AA18" s="1768"/>
      <c r="AB18" s="1768"/>
      <c r="AC18" s="1768"/>
      <c r="AD18" s="1768"/>
    </row>
    <row r="19" spans="1:30" s="203" customFormat="1" ht="18.75" hidden="1" customHeight="1">
      <c r="A19" s="1046"/>
      <c r="C19" s="1047"/>
      <c r="D19" s="1047"/>
      <c r="E19" s="1047"/>
      <c r="F19" s="1047"/>
      <c r="G19" s="1047"/>
      <c r="H19" s="1047"/>
      <c r="I19" s="1047"/>
      <c r="J19" s="218"/>
      <c r="K19" s="1047"/>
      <c r="L19" s="1047"/>
      <c r="M19" s="218"/>
      <c r="N19" s="1048"/>
      <c r="O19" s="1048"/>
      <c r="P19" s="1048"/>
      <c r="Q19" s="1048"/>
      <c r="R19" s="1048"/>
      <c r="S19" s="1048"/>
      <c r="T19" s="1048"/>
      <c r="U19" s="1048"/>
      <c r="V19" s="1769" t="s">
        <v>233</v>
      </c>
      <c r="W19" s="1769"/>
      <c r="X19" s="1769"/>
      <c r="Y19" s="1769"/>
      <c r="Z19" s="1769"/>
      <c r="AA19" s="1769"/>
      <c r="AB19" s="1769"/>
      <c r="AC19" s="1769"/>
      <c r="AD19" s="1769"/>
    </row>
    <row r="20" spans="1:30" s="203" customFormat="1" ht="18.75" hidden="1" customHeight="1">
      <c r="A20" s="1046"/>
      <c r="C20" s="1047"/>
      <c r="D20" s="1047"/>
      <c r="E20" s="1047"/>
      <c r="F20" s="1047"/>
      <c r="G20" s="1047"/>
      <c r="H20" s="1047"/>
      <c r="I20" s="1047"/>
      <c r="J20" s="218"/>
      <c r="K20" s="1047"/>
      <c r="L20" s="1047"/>
      <c r="M20" s="218"/>
      <c r="N20" s="1048"/>
      <c r="O20" s="1048"/>
      <c r="P20" s="1048"/>
      <c r="Q20" s="1048"/>
      <c r="R20" s="1048"/>
      <c r="S20" s="1048"/>
      <c r="T20" s="1048"/>
      <c r="U20" s="1048"/>
      <c r="V20" s="1769" t="s">
        <v>234</v>
      </c>
      <c r="W20" s="1769"/>
      <c r="X20" s="1769"/>
      <c r="Y20" s="1769"/>
      <c r="Z20" s="1769"/>
      <c r="AA20" s="1769"/>
      <c r="AB20" s="1769"/>
      <c r="AC20" s="1769"/>
      <c r="AD20" s="1769"/>
    </row>
    <row r="21" spans="1:30" ht="19.5" hidden="1" customHeight="1">
      <c r="N21" s="392"/>
      <c r="O21" s="392"/>
      <c r="P21" s="392"/>
      <c r="Q21" s="392"/>
      <c r="R21" s="392"/>
      <c r="S21" s="392"/>
      <c r="T21" s="392"/>
      <c r="U21" s="392"/>
      <c r="V21" s="1770" t="s">
        <v>151</v>
      </c>
      <c r="W21" s="1770"/>
      <c r="X21" s="1770"/>
      <c r="Y21" s="1770"/>
      <c r="Z21" s="1770"/>
      <c r="AA21" s="1770"/>
      <c r="AB21" s="1770"/>
      <c r="AC21" s="1770"/>
      <c r="AD21" s="1770"/>
    </row>
    <row r="22" spans="1:30" hidden="1">
      <c r="Z22" s="391"/>
      <c r="AA22" s="391"/>
    </row>
    <row r="23" spans="1:30" hidden="1">
      <c r="A23" s="28"/>
      <c r="B23" s="28"/>
      <c r="C23" s="28"/>
      <c r="D23" s="28"/>
      <c r="E23" s="28"/>
      <c r="F23" s="28"/>
      <c r="G23" s="28"/>
      <c r="H23" s="28"/>
      <c r="I23" s="28"/>
      <c r="J23" s="28"/>
      <c r="K23" s="28"/>
      <c r="L23" s="28"/>
      <c r="M23" s="28"/>
      <c r="N23" s="28"/>
      <c r="O23" s="28"/>
      <c r="P23" s="28"/>
      <c r="Q23" s="28"/>
      <c r="R23" s="28"/>
      <c r="S23" s="28"/>
      <c r="T23" s="28"/>
      <c r="U23" s="28"/>
      <c r="V23" s="28"/>
      <c r="Z23" s="391"/>
      <c r="AA23" s="391"/>
    </row>
    <row r="24" spans="1:30" hidden="1">
      <c r="A24" s="28"/>
      <c r="B24" s="28"/>
      <c r="C24" s="28"/>
      <c r="D24" s="28"/>
      <c r="E24" s="28"/>
      <c r="F24" s="28"/>
      <c r="G24" s="28"/>
      <c r="H24" s="28"/>
      <c r="I24" s="28"/>
      <c r="J24" s="28"/>
      <c r="K24" s="28"/>
      <c r="L24" s="28"/>
      <c r="M24" s="28"/>
      <c r="N24" s="28"/>
      <c r="O24" s="28"/>
      <c r="P24" s="28"/>
      <c r="Q24" s="28"/>
      <c r="R24" s="28"/>
      <c r="S24" s="28"/>
      <c r="T24" s="28"/>
      <c r="U24" s="28"/>
      <c r="V24" s="28"/>
      <c r="Z24" s="391"/>
      <c r="AA24" s="391"/>
    </row>
    <row r="25" spans="1:30" hidden="1">
      <c r="A25" s="28"/>
      <c r="B25" s="28"/>
      <c r="C25" s="28"/>
      <c r="D25" s="28"/>
      <c r="E25" s="28"/>
      <c r="F25" s="28"/>
      <c r="G25" s="28"/>
      <c r="H25" s="28"/>
      <c r="I25" s="28"/>
      <c r="J25" s="28"/>
      <c r="K25" s="28"/>
      <c r="L25" s="28"/>
      <c r="M25" s="28"/>
      <c r="N25" s="28"/>
      <c r="O25" s="28"/>
      <c r="P25" s="28"/>
      <c r="Q25" s="28"/>
      <c r="R25" s="28"/>
      <c r="S25" s="28"/>
      <c r="T25" s="28"/>
      <c r="U25" s="28"/>
      <c r="V25" s="28"/>
      <c r="Z25" s="391"/>
      <c r="AA25" s="391"/>
    </row>
    <row r="26" spans="1:30" hidden="1">
      <c r="A26" s="28"/>
      <c r="B26" s="28"/>
      <c r="C26" s="28"/>
      <c r="D26" s="28"/>
      <c r="E26" s="28"/>
      <c r="F26" s="28"/>
      <c r="G26" s="28"/>
      <c r="H26" s="28"/>
      <c r="I26" s="28"/>
      <c r="J26" s="28"/>
      <c r="K26" s="28"/>
      <c r="L26" s="28"/>
      <c r="M26" s="28"/>
      <c r="N26" s="28"/>
      <c r="O26" s="28"/>
      <c r="P26" s="28"/>
      <c r="Q26" s="28"/>
      <c r="R26" s="28"/>
      <c r="S26" s="28"/>
      <c r="T26" s="28"/>
      <c r="U26" s="28"/>
      <c r="V26" s="28"/>
      <c r="Z26" s="391"/>
      <c r="AA26" s="391"/>
    </row>
    <row r="27" spans="1:30" hidden="1">
      <c r="A27" s="28"/>
      <c r="B27" s="28"/>
      <c r="C27" s="28"/>
      <c r="D27" s="28"/>
      <c r="E27" s="28"/>
      <c r="F27" s="28"/>
      <c r="G27" s="28"/>
      <c r="H27" s="28"/>
      <c r="I27" s="28"/>
      <c r="J27" s="28"/>
      <c r="K27" s="28"/>
      <c r="L27" s="28"/>
      <c r="M27" s="28"/>
      <c r="N27" s="28"/>
      <c r="O27" s="28"/>
      <c r="P27" s="28"/>
      <c r="Q27" s="28"/>
      <c r="R27" s="28"/>
      <c r="S27" s="28"/>
      <c r="T27" s="28"/>
      <c r="U27" s="28"/>
      <c r="V27" s="28"/>
      <c r="Z27" s="391"/>
      <c r="AA27" s="391"/>
    </row>
    <row r="28" spans="1:30" hidden="1"/>
    <row r="29" spans="1:30" hidden="1">
      <c r="A29" s="28"/>
      <c r="B29" s="28"/>
      <c r="C29" s="28"/>
      <c r="D29" s="28"/>
      <c r="E29" s="28"/>
      <c r="F29" s="28"/>
      <c r="G29" s="28"/>
      <c r="H29" s="28"/>
      <c r="I29" s="28"/>
      <c r="J29" s="28"/>
      <c r="K29" s="28"/>
      <c r="L29" s="28"/>
      <c r="M29" s="28"/>
      <c r="N29" s="28"/>
      <c r="O29" s="28"/>
      <c r="P29" s="28"/>
      <c r="Q29" s="28"/>
      <c r="R29" s="28"/>
      <c r="S29" s="28"/>
      <c r="T29" s="28"/>
      <c r="U29" s="28"/>
      <c r="V29" s="28"/>
      <c r="Z29" s="391"/>
      <c r="AA29" s="391"/>
    </row>
    <row r="30" spans="1:30" hidden="1">
      <c r="A30" s="28"/>
      <c r="B30" s="28"/>
      <c r="C30" s="28"/>
      <c r="D30" s="28"/>
      <c r="E30" s="28"/>
      <c r="F30" s="28"/>
      <c r="G30" s="28"/>
      <c r="H30" s="28"/>
      <c r="I30" s="28"/>
      <c r="J30" s="28"/>
      <c r="K30" s="28"/>
      <c r="L30" s="28"/>
      <c r="M30" s="28"/>
      <c r="N30" s="28"/>
      <c r="O30" s="28"/>
      <c r="P30" s="28"/>
      <c r="Q30" s="28"/>
      <c r="R30" s="28"/>
      <c r="S30" s="28"/>
      <c r="T30" s="28"/>
      <c r="U30" s="28"/>
      <c r="V30" s="28"/>
      <c r="Z30" s="391"/>
      <c r="AA30" s="391"/>
    </row>
    <row r="31" spans="1:30" hidden="1">
      <c r="A31" s="28"/>
      <c r="B31" s="28"/>
      <c r="C31" s="28"/>
      <c r="D31" s="28"/>
      <c r="E31" s="28"/>
      <c r="F31" s="28"/>
      <c r="G31" s="28"/>
      <c r="H31" s="28"/>
      <c r="I31" s="28"/>
      <c r="J31" s="28"/>
      <c r="K31" s="28"/>
      <c r="L31" s="28"/>
      <c r="M31" s="28"/>
      <c r="N31" s="28"/>
      <c r="O31" s="28"/>
      <c r="P31" s="28"/>
      <c r="Q31" s="28"/>
      <c r="R31" s="28"/>
      <c r="S31" s="28"/>
      <c r="T31" s="28"/>
      <c r="U31" s="28"/>
      <c r="V31" s="28"/>
      <c r="Z31" s="391"/>
      <c r="AA31" s="391"/>
    </row>
    <row r="32" spans="1:30" ht="24" hidden="1" customHeight="1">
      <c r="A32" s="28"/>
      <c r="B32" s="28"/>
      <c r="C32" s="28"/>
      <c r="D32" s="28"/>
      <c r="E32" s="28"/>
      <c r="F32" s="28"/>
      <c r="G32" s="28"/>
      <c r="H32" s="28"/>
      <c r="I32" s="28"/>
      <c r="J32" s="28"/>
      <c r="K32" s="28"/>
      <c r="L32" s="28"/>
      <c r="M32" s="28"/>
      <c r="N32" s="28"/>
      <c r="O32" s="28"/>
      <c r="P32" s="28"/>
      <c r="Q32" s="28"/>
      <c r="R32" s="28"/>
      <c r="S32" s="28"/>
      <c r="T32" s="28"/>
      <c r="U32" s="28"/>
      <c r="V32" s="1769"/>
      <c r="W32" s="1769"/>
      <c r="X32" s="1769"/>
      <c r="Y32" s="1769"/>
      <c r="Z32" s="1769"/>
      <c r="AA32" s="1769"/>
      <c r="AB32" s="1769"/>
      <c r="AC32" s="1769"/>
      <c r="AD32" s="1769"/>
    </row>
    <row r="33" spans="3:18" hidden="1"/>
    <row r="34" spans="3:18" hidden="1"/>
    <row r="35" spans="3:18" hidden="1"/>
    <row r="36" spans="3:18" hidden="1"/>
    <row r="37" spans="3:18" hidden="1"/>
    <row r="38" spans="3:18" hidden="1"/>
    <row r="39" spans="3:18" hidden="1"/>
    <row r="40" spans="3:18" hidden="1"/>
    <row r="41" spans="3:18" hidden="1"/>
    <row r="42" spans="3:18">
      <c r="C42" s="1585"/>
      <c r="F42" s="1576"/>
      <c r="R42" s="88"/>
    </row>
    <row r="43" spans="3:18">
      <c r="C43" s="1585"/>
    </row>
  </sheetData>
  <mergeCells count="64">
    <mergeCell ref="V18:AD18"/>
    <mergeCell ref="V19:AD19"/>
    <mergeCell ref="V20:AD20"/>
    <mergeCell ref="V21:AD21"/>
    <mergeCell ref="V32:AD32"/>
    <mergeCell ref="A17:AD17"/>
    <mergeCell ref="X7:X9"/>
    <mergeCell ref="Y7:Z7"/>
    <mergeCell ref="AC7:AC9"/>
    <mergeCell ref="AD7:AD9"/>
    <mergeCell ref="M8:M9"/>
    <mergeCell ref="N8:N9"/>
    <mergeCell ref="V8:V9"/>
    <mergeCell ref="W8:W9"/>
    <mergeCell ref="Y8:Y9"/>
    <mergeCell ref="Z8:Z9"/>
    <mergeCell ref="T8:T9"/>
    <mergeCell ref="R7:R9"/>
    <mergeCell ref="S7:T7"/>
    <mergeCell ref="S8:S9"/>
    <mergeCell ref="A5:A9"/>
    <mergeCell ref="V7:W7"/>
    <mergeCell ref="R6:T6"/>
    <mergeCell ref="L6:N6"/>
    <mergeCell ref="O6:O9"/>
    <mergeCell ref="P6:Q6"/>
    <mergeCell ref="AB4:AD4"/>
    <mergeCell ref="C5:N5"/>
    <mergeCell ref="O5:Z5"/>
    <mergeCell ref="AB5:AD5"/>
    <mergeCell ref="G4:H4"/>
    <mergeCell ref="L4:M4"/>
    <mergeCell ref="AA5:AA9"/>
    <mergeCell ref="U6:W6"/>
    <mergeCell ref="X6:Z6"/>
    <mergeCell ref="AB6:AB9"/>
    <mergeCell ref="AC6:AD6"/>
    <mergeCell ref="L7:L9"/>
    <mergeCell ref="M7:N7"/>
    <mergeCell ref="P7:P9"/>
    <mergeCell ref="Q7:Q9"/>
    <mergeCell ref="U7:U9"/>
    <mergeCell ref="V1:W1"/>
    <mergeCell ref="AB1:AD1"/>
    <mergeCell ref="A2:AD2"/>
    <mergeCell ref="A1:D1"/>
    <mergeCell ref="J1:K1"/>
    <mergeCell ref="M1:N1"/>
    <mergeCell ref="A3:AD3"/>
    <mergeCell ref="J7:K7"/>
    <mergeCell ref="J8:J9"/>
    <mergeCell ref="K8:K9"/>
    <mergeCell ref="I6:K6"/>
    <mergeCell ref="I7:I9"/>
    <mergeCell ref="B5:B9"/>
    <mergeCell ref="C6:C9"/>
    <mergeCell ref="G7:H7"/>
    <mergeCell ref="F6:H6"/>
    <mergeCell ref="D6:E6"/>
    <mergeCell ref="D7:D9"/>
    <mergeCell ref="E7:E9"/>
    <mergeCell ref="F7:F9"/>
    <mergeCell ref="H8:H9"/>
    <mergeCell ref="G8:G9"/>
  </mergeCells>
  <pageMargins left="0.23622047244094499" right="0.15748031496063" top="0.87" bottom="0.196850393700787" header="0.74803149606299202" footer="0.196850393700787"/>
  <pageSetup paperSize="8" scale="75" orientation="landscape" verticalDpi="0"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L409"/>
  <sheetViews>
    <sheetView topLeftCell="A19" zoomScale="130" zoomScaleNormal="130" workbookViewId="0">
      <selection activeCell="F11" sqref="F11"/>
    </sheetView>
  </sheetViews>
  <sheetFormatPr defaultColWidth="9.140625" defaultRowHeight="12"/>
  <cols>
    <col min="1" max="1" width="5" style="1420" customWidth="1"/>
    <col min="2" max="2" width="22.28515625" style="1307" customWidth="1"/>
    <col min="3" max="3" width="10.28515625" style="1396" customWidth="1"/>
    <col min="4" max="4" width="13.28515625" style="1396" customWidth="1"/>
    <col min="5" max="5" width="9" style="1307" customWidth="1"/>
    <col min="6" max="7" width="8.7109375" style="1307" customWidth="1"/>
    <col min="8" max="8" width="10.140625" style="1307" customWidth="1"/>
    <col min="9" max="9" width="8.7109375" style="1307" customWidth="1"/>
    <col min="10" max="10" width="8.42578125" style="1307" customWidth="1"/>
    <col min="11" max="11" width="9.140625" style="1307" customWidth="1"/>
    <col min="12" max="12" width="9" style="1307" customWidth="1"/>
    <col min="13" max="13" width="8.5703125" style="1307" customWidth="1"/>
    <col min="14" max="14" width="8" style="1307" customWidth="1"/>
    <col min="15" max="15" width="7.28515625" style="1307" customWidth="1"/>
    <col min="16" max="16" width="8.42578125" style="1307" customWidth="1"/>
    <col min="17" max="17" width="9" style="1307" customWidth="1"/>
    <col min="18" max="18" width="8.5703125" style="1307" customWidth="1"/>
    <col min="19" max="19" width="8.140625" style="1307" customWidth="1"/>
    <col min="20" max="20" width="7" style="1307" customWidth="1"/>
    <col min="21" max="21" width="9.28515625" style="1307" customWidth="1"/>
    <col min="22" max="22" width="9" style="1307" customWidth="1"/>
    <col min="23" max="23" width="6.85546875" style="1309" customWidth="1"/>
    <col min="24" max="24" width="8.42578125" style="1307" customWidth="1"/>
    <col min="25" max="25" width="8.140625" style="1307" customWidth="1"/>
    <col min="26" max="26" width="7.28515625" style="1309" customWidth="1"/>
    <col min="27" max="27" width="8.28515625" style="1309" customWidth="1"/>
    <col min="28" max="28" width="8.85546875" style="1307" customWidth="1"/>
    <col min="29" max="29" width="8.28515625" style="1307" customWidth="1"/>
    <col min="30" max="30" width="9" style="1307" customWidth="1"/>
    <col min="31" max="31" width="8.140625" style="1307" customWidth="1"/>
    <col min="32" max="32" width="8.7109375" style="1307" customWidth="1"/>
    <col min="33" max="33" width="9.140625" style="1307" customWidth="1"/>
    <col min="34" max="34" width="7.85546875" style="1307" customWidth="1"/>
    <col min="35" max="35" width="10.28515625" style="1309" customWidth="1"/>
    <col min="36" max="36" width="8.5703125" style="1307" customWidth="1"/>
    <col min="37" max="37" width="8.42578125" style="1307" customWidth="1"/>
    <col min="38" max="38" width="29.7109375" style="1307" customWidth="1"/>
    <col min="39" max="39" width="9.5703125" style="1307" customWidth="1"/>
    <col min="40" max="40" width="1.42578125" style="1307" customWidth="1"/>
    <col min="41" max="16384" width="9.140625" style="1307"/>
  </cols>
  <sheetData>
    <row r="1" spans="1:37" ht="24" customHeight="1">
      <c r="A1" s="1757" t="s">
        <v>720</v>
      </c>
      <c r="B1" s="1757"/>
      <c r="C1" s="1757"/>
      <c r="D1" s="1757"/>
      <c r="E1" s="1304"/>
      <c r="F1" s="1304"/>
      <c r="G1" s="1304"/>
      <c r="H1" s="1304"/>
      <c r="I1" s="1304"/>
      <c r="J1" s="1304"/>
      <c r="K1" s="1304"/>
      <c r="L1" s="1304"/>
      <c r="M1" s="1304"/>
      <c r="N1" s="1304"/>
      <c r="O1" s="1304"/>
      <c r="P1" s="1304"/>
      <c r="Q1" s="1304"/>
      <c r="R1" s="1304"/>
      <c r="S1" s="1304"/>
      <c r="T1" s="1304"/>
      <c r="U1" s="1304"/>
      <c r="V1" s="1304"/>
      <c r="W1" s="1304"/>
      <c r="X1" s="1304"/>
      <c r="Y1" s="1304"/>
      <c r="Z1" s="1304"/>
      <c r="AA1" s="1304"/>
      <c r="AB1" s="1304"/>
      <c r="AC1" s="1304"/>
      <c r="AD1" s="1304"/>
      <c r="AE1" s="1304"/>
      <c r="AF1" s="1304"/>
      <c r="AG1" s="1304"/>
      <c r="AH1" s="1304"/>
      <c r="AI1" s="1771" t="s">
        <v>1156</v>
      </c>
      <c r="AJ1" s="1771"/>
      <c r="AK1" s="1771"/>
    </row>
    <row r="2" spans="1:37" ht="23.25" customHeight="1">
      <c r="A2" s="1771" t="s">
        <v>1155</v>
      </c>
      <c r="B2" s="1771"/>
      <c r="C2" s="1771"/>
      <c r="D2" s="1771"/>
      <c r="E2" s="1771"/>
      <c r="F2" s="1771"/>
      <c r="G2" s="1771"/>
      <c r="H2" s="1771"/>
      <c r="I2" s="1771"/>
      <c r="J2" s="1771"/>
      <c r="K2" s="1771"/>
      <c r="L2" s="1771"/>
      <c r="M2" s="1771"/>
      <c r="N2" s="1771"/>
      <c r="O2" s="1771"/>
      <c r="P2" s="1771"/>
      <c r="Q2" s="1771"/>
      <c r="R2" s="1771"/>
      <c r="S2" s="1771"/>
      <c r="T2" s="1771"/>
      <c r="U2" s="1771"/>
      <c r="V2" s="1771"/>
      <c r="W2" s="1771"/>
      <c r="X2" s="1771"/>
      <c r="Y2" s="1771"/>
      <c r="Z2" s="1771"/>
      <c r="AA2" s="1771"/>
      <c r="AB2" s="1771"/>
      <c r="AC2" s="1771"/>
      <c r="AD2" s="1771"/>
      <c r="AE2" s="1771"/>
      <c r="AF2" s="1771"/>
      <c r="AG2" s="1771"/>
      <c r="AH2" s="1771"/>
      <c r="AI2" s="1771"/>
      <c r="AJ2" s="1771"/>
      <c r="AK2" s="1771"/>
    </row>
    <row r="3" spans="1:37">
      <c r="A3" s="1778" t="str">
        <f>'48.QTCĐNSĐP'!A3:F3</f>
        <v>(Kèm theo Quyết định số      /QĐ-UBND ngày 15/04/2026 nhân dân xã Trần Phú)</v>
      </c>
      <c r="B3" s="1778"/>
      <c r="C3" s="1778"/>
      <c r="D3" s="1778"/>
      <c r="E3" s="1778"/>
      <c r="F3" s="1778"/>
      <c r="G3" s="1778"/>
      <c r="H3" s="1778"/>
      <c r="I3" s="1778"/>
      <c r="J3" s="1778"/>
      <c r="K3" s="1778"/>
      <c r="L3" s="1778"/>
      <c r="M3" s="1778"/>
      <c r="N3" s="1778"/>
      <c r="O3" s="1778"/>
      <c r="P3" s="1778"/>
      <c r="Q3" s="1778"/>
      <c r="R3" s="1778"/>
      <c r="S3" s="1778"/>
      <c r="T3" s="1778"/>
      <c r="U3" s="1778"/>
      <c r="V3" s="1778"/>
      <c r="W3" s="1778"/>
      <c r="X3" s="1778"/>
      <c r="Y3" s="1778"/>
      <c r="Z3" s="1778"/>
      <c r="AA3" s="1778"/>
      <c r="AB3" s="1778"/>
      <c r="AC3" s="1778"/>
      <c r="AD3" s="1778"/>
      <c r="AE3" s="1778"/>
      <c r="AF3" s="1778"/>
      <c r="AG3" s="1778"/>
      <c r="AH3" s="1778"/>
      <c r="AI3" s="1778"/>
      <c r="AJ3" s="1778"/>
      <c r="AK3" s="1393"/>
    </row>
    <row r="4" spans="1:37" ht="10.5" customHeight="1">
      <c r="A4" s="1394"/>
      <c r="B4" s="1395"/>
      <c r="C4" s="1394"/>
      <c r="E4" s="1396"/>
      <c r="F4" s="1396"/>
      <c r="G4" s="1302"/>
      <c r="I4" s="1310"/>
      <c r="J4" s="1397"/>
      <c r="L4" s="1303"/>
      <c r="M4" s="1303"/>
      <c r="O4" s="1303"/>
      <c r="P4" s="1303"/>
      <c r="V4" s="1779"/>
      <c r="W4" s="1779"/>
      <c r="X4" s="1779"/>
      <c r="Y4" s="1779"/>
      <c r="Z4" s="1779"/>
      <c r="AA4" s="1779"/>
      <c r="AB4" s="1779"/>
      <c r="AC4" s="1398"/>
      <c r="AD4" s="1780"/>
      <c r="AE4" s="1780"/>
      <c r="AF4" s="1399"/>
      <c r="AG4" s="1399"/>
      <c r="AH4" s="1772" t="s">
        <v>216</v>
      </c>
      <c r="AI4" s="1772"/>
      <c r="AJ4" s="1772"/>
      <c r="AK4" s="1772"/>
    </row>
    <row r="5" spans="1:37" ht="20.25" customHeight="1">
      <c r="A5" s="1774" t="s">
        <v>313</v>
      </c>
      <c r="B5" s="1774" t="s">
        <v>314</v>
      </c>
      <c r="C5" s="1774" t="s">
        <v>93</v>
      </c>
      <c r="D5" s="1774" t="s">
        <v>1043</v>
      </c>
      <c r="E5" s="1774"/>
      <c r="F5" s="1774"/>
      <c r="G5" s="1774"/>
      <c r="H5" s="1774"/>
      <c r="I5" s="1774"/>
      <c r="J5" s="1774"/>
      <c r="K5" s="1774"/>
      <c r="L5" s="1781" t="s">
        <v>1153</v>
      </c>
      <c r="M5" s="1782"/>
      <c r="N5" s="1782"/>
      <c r="O5" s="1782"/>
      <c r="P5" s="1782"/>
      <c r="Q5" s="1781" t="s">
        <v>1152</v>
      </c>
      <c r="R5" s="1782"/>
      <c r="S5" s="1782"/>
      <c r="T5" s="1782"/>
      <c r="U5" s="1782"/>
      <c r="V5" s="1781" t="s">
        <v>1151</v>
      </c>
      <c r="W5" s="1782"/>
      <c r="X5" s="1782"/>
      <c r="Y5" s="1782"/>
      <c r="Z5" s="1782"/>
      <c r="AA5" s="1782"/>
      <c r="AB5" s="1782"/>
      <c r="AC5" s="1782"/>
      <c r="AD5" s="1774" t="s">
        <v>1149</v>
      </c>
      <c r="AE5" s="1774"/>
      <c r="AF5" s="1774"/>
      <c r="AG5" s="1774"/>
      <c r="AH5" s="1774"/>
      <c r="AI5" s="1774"/>
      <c r="AJ5" s="1774"/>
      <c r="AK5" s="1774"/>
    </row>
    <row r="6" spans="1:37" ht="15" customHeight="1">
      <c r="A6" s="1774"/>
      <c r="B6" s="1774"/>
      <c r="C6" s="1774"/>
      <c r="D6" s="1774" t="s">
        <v>669</v>
      </c>
      <c r="E6" s="1774" t="s">
        <v>1044</v>
      </c>
      <c r="F6" s="1775" t="s">
        <v>1045</v>
      </c>
      <c r="G6" s="1776"/>
      <c r="H6" s="1776"/>
      <c r="I6" s="1776"/>
      <c r="J6" s="1776"/>
      <c r="K6" s="1777"/>
      <c r="L6" s="1783"/>
      <c r="M6" s="1784"/>
      <c r="N6" s="1784"/>
      <c r="O6" s="1784"/>
      <c r="P6" s="1784"/>
      <c r="Q6" s="1783"/>
      <c r="R6" s="1784"/>
      <c r="S6" s="1784"/>
      <c r="T6" s="1784"/>
      <c r="U6" s="1784"/>
      <c r="V6" s="1783"/>
      <c r="W6" s="1784"/>
      <c r="X6" s="1784"/>
      <c r="Y6" s="1784"/>
      <c r="Z6" s="1784"/>
      <c r="AA6" s="1784"/>
      <c r="AB6" s="1784"/>
      <c r="AC6" s="1784"/>
      <c r="AD6" s="1774"/>
      <c r="AE6" s="1774"/>
      <c r="AF6" s="1774"/>
      <c r="AG6" s="1774"/>
      <c r="AH6" s="1774"/>
      <c r="AI6" s="1774"/>
      <c r="AJ6" s="1774"/>
      <c r="AK6" s="1774"/>
    </row>
    <row r="7" spans="1:37" ht="19.5" customHeight="1">
      <c r="A7" s="1774"/>
      <c r="B7" s="1774"/>
      <c r="C7" s="1774"/>
      <c r="D7" s="1774"/>
      <c r="E7" s="1774"/>
      <c r="F7" s="1775" t="s">
        <v>49</v>
      </c>
      <c r="G7" s="1776"/>
      <c r="H7" s="1776"/>
      <c r="I7" s="1776"/>
      <c r="J7" s="1776"/>
      <c r="K7" s="1777"/>
      <c r="L7" s="1773" t="s">
        <v>152</v>
      </c>
      <c r="M7" s="1775" t="s">
        <v>49</v>
      </c>
      <c r="N7" s="1776"/>
      <c r="O7" s="1776"/>
      <c r="P7" s="1776"/>
      <c r="Q7" s="1773" t="s">
        <v>152</v>
      </c>
      <c r="R7" s="1775" t="s">
        <v>49</v>
      </c>
      <c r="S7" s="1776"/>
      <c r="T7" s="1776"/>
      <c r="U7" s="1776"/>
      <c r="V7" s="1773" t="s">
        <v>152</v>
      </c>
      <c r="W7" s="1775" t="s">
        <v>49</v>
      </c>
      <c r="X7" s="1776"/>
      <c r="Y7" s="1776"/>
      <c r="Z7" s="1776"/>
      <c r="AA7" s="1776"/>
      <c r="AB7" s="1776"/>
      <c r="AC7" s="1776"/>
      <c r="AD7" s="1773" t="s">
        <v>152</v>
      </c>
      <c r="AE7" s="1773" t="s">
        <v>49</v>
      </c>
      <c r="AF7" s="1773"/>
      <c r="AG7" s="1773"/>
      <c r="AH7" s="1773"/>
      <c r="AI7" s="1773"/>
      <c r="AJ7" s="1773"/>
      <c r="AK7" s="1773"/>
    </row>
    <row r="8" spans="1:37" ht="114" customHeight="1">
      <c r="A8" s="1774"/>
      <c r="B8" s="1774"/>
      <c r="C8" s="1774"/>
      <c r="D8" s="1774"/>
      <c r="E8" s="1774"/>
      <c r="F8" s="1400" t="s">
        <v>670</v>
      </c>
      <c r="G8" s="1400" t="s">
        <v>1147</v>
      </c>
      <c r="H8" s="1379" t="s">
        <v>671</v>
      </c>
      <c r="I8" s="1379" t="s">
        <v>1046</v>
      </c>
      <c r="J8" s="1379" t="s">
        <v>728</v>
      </c>
      <c r="K8" s="1379" t="s">
        <v>1154</v>
      </c>
      <c r="L8" s="1773"/>
      <c r="M8" s="1545" t="s">
        <v>670</v>
      </c>
      <c r="N8" s="1400" t="s">
        <v>1147</v>
      </c>
      <c r="O8" s="1545" t="s">
        <v>672</v>
      </c>
      <c r="P8" s="1545" t="s">
        <v>1047</v>
      </c>
      <c r="Q8" s="1773"/>
      <c r="R8" s="1379" t="s">
        <v>670</v>
      </c>
      <c r="S8" s="1400" t="s">
        <v>1147</v>
      </c>
      <c r="T8" s="1379" t="s">
        <v>672</v>
      </c>
      <c r="U8" s="1379" t="s">
        <v>1048</v>
      </c>
      <c r="V8" s="1773"/>
      <c r="W8" s="1379" t="s">
        <v>670</v>
      </c>
      <c r="X8" s="1400" t="s">
        <v>1147</v>
      </c>
      <c r="Y8" s="1379" t="s">
        <v>1150</v>
      </c>
      <c r="Z8" s="1379" t="s">
        <v>672</v>
      </c>
      <c r="AA8" s="1379" t="s">
        <v>1148</v>
      </c>
      <c r="AB8" s="1379" t="s">
        <v>1046</v>
      </c>
      <c r="AC8" s="1379" t="s">
        <v>728</v>
      </c>
      <c r="AD8" s="1773"/>
      <c r="AE8" s="1379" t="s">
        <v>670</v>
      </c>
      <c r="AF8" s="1400" t="s">
        <v>1147</v>
      </c>
      <c r="AG8" s="1379" t="s">
        <v>1146</v>
      </c>
      <c r="AH8" s="1379" t="s">
        <v>672</v>
      </c>
      <c r="AI8" s="1379" t="s">
        <v>1148</v>
      </c>
      <c r="AJ8" s="1379" t="s">
        <v>1046</v>
      </c>
      <c r="AK8" s="1379" t="s">
        <v>728</v>
      </c>
    </row>
    <row r="9" spans="1:37" s="1399" customFormat="1" ht="12.75" customHeight="1">
      <c r="A9" s="1383">
        <v>1</v>
      </c>
      <c r="B9" s="1383">
        <v>2</v>
      </c>
      <c r="C9" s="1383">
        <v>3</v>
      </c>
      <c r="D9" s="1383">
        <v>4</v>
      </c>
      <c r="E9" s="1383">
        <v>5</v>
      </c>
      <c r="F9" s="1383">
        <v>6</v>
      </c>
      <c r="G9" s="1383">
        <v>7</v>
      </c>
      <c r="H9" s="1383">
        <v>9</v>
      </c>
      <c r="I9" s="1383">
        <v>10</v>
      </c>
      <c r="J9" s="1383">
        <v>12</v>
      </c>
      <c r="K9" s="1383">
        <v>17</v>
      </c>
      <c r="L9" s="1383">
        <v>18</v>
      </c>
      <c r="M9" s="1383">
        <v>19</v>
      </c>
      <c r="N9" s="1383">
        <v>38</v>
      </c>
      <c r="O9" s="1383">
        <v>20</v>
      </c>
      <c r="P9" s="1383">
        <v>21</v>
      </c>
      <c r="Q9" s="1383">
        <v>27</v>
      </c>
      <c r="R9" s="1383">
        <v>28</v>
      </c>
      <c r="S9" s="1383">
        <v>38</v>
      </c>
      <c r="T9" s="1383">
        <v>29</v>
      </c>
      <c r="U9" s="1383">
        <v>30</v>
      </c>
      <c r="V9" s="1383">
        <v>36</v>
      </c>
      <c r="W9" s="1383">
        <v>37</v>
      </c>
      <c r="X9" s="1383">
        <v>38</v>
      </c>
      <c r="Y9" s="1383">
        <v>40</v>
      </c>
      <c r="Z9" s="1383">
        <v>41</v>
      </c>
      <c r="AA9" s="1383">
        <v>42</v>
      </c>
      <c r="AB9" s="1383">
        <v>43</v>
      </c>
      <c r="AC9" s="1383">
        <v>46</v>
      </c>
      <c r="AD9" s="1383">
        <v>52</v>
      </c>
      <c r="AE9" s="1383">
        <v>53</v>
      </c>
      <c r="AF9" s="1383">
        <v>54</v>
      </c>
      <c r="AG9" s="1383">
        <v>56</v>
      </c>
      <c r="AH9" s="1383">
        <v>57</v>
      </c>
      <c r="AI9" s="1383">
        <v>58</v>
      </c>
      <c r="AJ9" s="1383">
        <v>59</v>
      </c>
      <c r="AK9" s="1383">
        <v>62</v>
      </c>
    </row>
    <row r="10" spans="1:37" ht="26.25" customHeight="1">
      <c r="A10" s="1401"/>
      <c r="B10" s="1401" t="s">
        <v>472</v>
      </c>
      <c r="C10" s="1402"/>
      <c r="D10" s="1403"/>
      <c r="E10" s="1384">
        <f>E11+E82</f>
        <v>45821.72524</v>
      </c>
      <c r="F10" s="1384"/>
      <c r="G10" s="1384">
        <f t="shared" ref="G10:AK10" si="0">G11+G82</f>
        <v>4868.9495999999999</v>
      </c>
      <c r="H10" s="1384">
        <f t="shared" si="0"/>
        <v>855.18000000000006</v>
      </c>
      <c r="I10" s="1384">
        <f t="shared" si="0"/>
        <v>26526.495754999996</v>
      </c>
      <c r="J10" s="1384">
        <f t="shared" si="0"/>
        <v>13571.099885000001</v>
      </c>
      <c r="K10" s="1384">
        <f t="shared" si="0"/>
        <v>0</v>
      </c>
      <c r="L10" s="1384">
        <f t="shared" si="0"/>
        <v>27698.44843</v>
      </c>
      <c r="M10" s="1384">
        <f t="shared" si="0"/>
        <v>12872.723889000001</v>
      </c>
      <c r="N10" s="1384">
        <f t="shared" si="0"/>
        <v>3343.0712999999996</v>
      </c>
      <c r="O10" s="1384">
        <f t="shared" si="0"/>
        <v>17.5</v>
      </c>
      <c r="P10" s="1384">
        <f t="shared" si="0"/>
        <v>11465.153241</v>
      </c>
      <c r="Q10" s="1384">
        <f t="shared" si="0"/>
        <v>16900.68</v>
      </c>
      <c r="R10" s="1384">
        <f t="shared" si="0"/>
        <v>0</v>
      </c>
      <c r="S10" s="1384">
        <f t="shared" si="0"/>
        <v>1600</v>
      </c>
      <c r="T10" s="1384">
        <f t="shared" si="0"/>
        <v>428.08</v>
      </c>
      <c r="U10" s="1384">
        <f t="shared" si="0"/>
        <v>14872.6</v>
      </c>
      <c r="V10" s="1384">
        <f t="shared" si="0"/>
        <v>22167.628413999995</v>
      </c>
      <c r="W10" s="1384">
        <f t="shared" si="0"/>
        <v>0</v>
      </c>
      <c r="X10" s="1384">
        <f t="shared" si="0"/>
        <v>2942.1449999999995</v>
      </c>
      <c r="Y10" s="1384">
        <f t="shared" si="0"/>
        <v>0</v>
      </c>
      <c r="Z10" s="1384">
        <f t="shared" si="0"/>
        <v>931.19</v>
      </c>
      <c r="AA10" s="1384">
        <f t="shared" si="0"/>
        <v>3562.7976839999997</v>
      </c>
      <c r="AB10" s="1384">
        <f t="shared" si="0"/>
        <v>11905.328754999997</v>
      </c>
      <c r="AC10" s="1384">
        <f t="shared" si="0"/>
        <v>2826.1669750000001</v>
      </c>
      <c r="AD10" s="1384">
        <f t="shared" si="0"/>
        <v>20986.962141</v>
      </c>
      <c r="AE10" s="1384">
        <f t="shared" si="0"/>
        <v>0</v>
      </c>
      <c r="AF10" s="1384">
        <f t="shared" si="0"/>
        <v>2903.2449999999999</v>
      </c>
      <c r="AG10" s="1384">
        <f t="shared" si="0"/>
        <v>368.59698400000002</v>
      </c>
      <c r="AH10" s="1384">
        <f t="shared" si="0"/>
        <v>535.1</v>
      </c>
      <c r="AI10" s="1384">
        <f t="shared" si="0"/>
        <v>2930.4528100000002</v>
      </c>
      <c r="AJ10" s="1384">
        <f t="shared" si="0"/>
        <v>11539.613300000001</v>
      </c>
      <c r="AK10" s="1384">
        <f t="shared" si="0"/>
        <v>2709.9540470000002</v>
      </c>
    </row>
    <row r="11" spans="1:37" s="1304" customFormat="1" ht="36">
      <c r="A11" s="1413" t="s">
        <v>316</v>
      </c>
      <c r="B11" s="1414" t="s">
        <v>1213</v>
      </c>
      <c r="C11" s="1436"/>
      <c r="D11" s="1437"/>
      <c r="E11" s="1391">
        <f>E12+E20+E49+E77+E79</f>
        <v>45123.349243999997</v>
      </c>
      <c r="F11" s="1391"/>
      <c r="G11" s="1391">
        <f t="shared" ref="G11:AK11" si="1">G12+G20+G49+G77+G79</f>
        <v>4868.9495999999999</v>
      </c>
      <c r="H11" s="1391">
        <f t="shared" si="1"/>
        <v>855.18000000000006</v>
      </c>
      <c r="I11" s="1391">
        <f t="shared" si="1"/>
        <v>26526.495754999996</v>
      </c>
      <c r="J11" s="1391">
        <f t="shared" si="1"/>
        <v>12872.723889000001</v>
      </c>
      <c r="K11" s="1391">
        <f t="shared" si="1"/>
        <v>0</v>
      </c>
      <c r="L11" s="1391">
        <f t="shared" si="1"/>
        <v>27698.44843</v>
      </c>
      <c r="M11" s="1391">
        <f t="shared" si="1"/>
        <v>12872.723889000001</v>
      </c>
      <c r="N11" s="1391">
        <f t="shared" si="1"/>
        <v>3343.0712999999996</v>
      </c>
      <c r="O11" s="1391">
        <f t="shared" si="1"/>
        <v>17.5</v>
      </c>
      <c r="P11" s="1391">
        <f t="shared" si="1"/>
        <v>11465.153241</v>
      </c>
      <c r="Q11" s="1391">
        <f t="shared" si="1"/>
        <v>16900.68</v>
      </c>
      <c r="R11" s="1391">
        <f t="shared" si="1"/>
        <v>0</v>
      </c>
      <c r="S11" s="1391">
        <f t="shared" si="1"/>
        <v>1600</v>
      </c>
      <c r="T11" s="1391">
        <f t="shared" si="1"/>
        <v>428.08</v>
      </c>
      <c r="U11" s="1391">
        <f t="shared" si="1"/>
        <v>14872.6</v>
      </c>
      <c r="V11" s="1391">
        <f t="shared" si="1"/>
        <v>21469.252417999996</v>
      </c>
      <c r="W11" s="1391">
        <f t="shared" si="1"/>
        <v>0</v>
      </c>
      <c r="X11" s="1391">
        <f t="shared" si="1"/>
        <v>2942.1449999999995</v>
      </c>
      <c r="Y11" s="1391">
        <f t="shared" si="1"/>
        <v>0</v>
      </c>
      <c r="Z11" s="1391">
        <f t="shared" si="1"/>
        <v>931.19</v>
      </c>
      <c r="AA11" s="1391">
        <f t="shared" si="1"/>
        <v>3562.7976839999997</v>
      </c>
      <c r="AB11" s="1391">
        <f t="shared" si="1"/>
        <v>11905.328754999997</v>
      </c>
      <c r="AC11" s="1391">
        <f t="shared" si="1"/>
        <v>2127.7909789999999</v>
      </c>
      <c r="AD11" s="1391">
        <f t="shared" si="1"/>
        <v>20296.155262</v>
      </c>
      <c r="AE11" s="1391">
        <f t="shared" si="1"/>
        <v>0</v>
      </c>
      <c r="AF11" s="1391">
        <f t="shared" si="1"/>
        <v>2903.2449999999999</v>
      </c>
      <c r="AG11" s="1391">
        <f t="shared" si="1"/>
        <v>368.59698400000002</v>
      </c>
      <c r="AH11" s="1391">
        <f t="shared" si="1"/>
        <v>535.1</v>
      </c>
      <c r="AI11" s="1391">
        <f t="shared" si="1"/>
        <v>2930.4528100000002</v>
      </c>
      <c r="AJ11" s="1391">
        <f t="shared" si="1"/>
        <v>11539.613300000001</v>
      </c>
      <c r="AK11" s="1391">
        <f t="shared" si="1"/>
        <v>2019.1471680000002</v>
      </c>
    </row>
    <row r="12" spans="1:37" s="1304" customFormat="1" ht="60">
      <c r="A12" s="1413" t="s">
        <v>318</v>
      </c>
      <c r="B12" s="1414" t="s">
        <v>1214</v>
      </c>
      <c r="C12" s="1437"/>
      <c r="D12" s="1437"/>
      <c r="E12" s="1389">
        <f>SUM(E13:E19)</f>
        <v>4618.9495999999999</v>
      </c>
      <c r="F12" s="1389"/>
      <c r="G12" s="1389">
        <f t="shared" ref="G12:AF12" si="2">SUM(G13:G19)</f>
        <v>4618.9495999999999</v>
      </c>
      <c r="H12" s="1389"/>
      <c r="I12" s="1389"/>
      <c r="J12" s="1389"/>
      <c r="K12" s="1389"/>
      <c r="L12" s="1389">
        <f t="shared" si="2"/>
        <v>3131.5792999999994</v>
      </c>
      <c r="M12" s="1389"/>
      <c r="N12" s="1389">
        <f t="shared" si="2"/>
        <v>3131.5792999999994</v>
      </c>
      <c r="O12" s="1389"/>
      <c r="P12" s="1389"/>
      <c r="Q12" s="1389">
        <f t="shared" si="2"/>
        <v>1600</v>
      </c>
      <c r="R12" s="1389"/>
      <c r="S12" s="1389">
        <f t="shared" si="2"/>
        <v>1600</v>
      </c>
      <c r="T12" s="1389"/>
      <c r="U12" s="1389"/>
      <c r="V12" s="1389">
        <f t="shared" si="2"/>
        <v>2883.7909999999997</v>
      </c>
      <c r="W12" s="1389"/>
      <c r="X12" s="1389">
        <f t="shared" si="2"/>
        <v>2883.7909999999997</v>
      </c>
      <c r="Y12" s="1389"/>
      <c r="Z12" s="1389"/>
      <c r="AA12" s="1389"/>
      <c r="AB12" s="1389"/>
      <c r="AC12" s="1389"/>
      <c r="AD12" s="1389">
        <f t="shared" si="2"/>
        <v>2883.3989999999999</v>
      </c>
      <c r="AE12" s="1389"/>
      <c r="AF12" s="1389">
        <f t="shared" si="2"/>
        <v>2883.3989999999999</v>
      </c>
      <c r="AG12" s="1389"/>
      <c r="AH12" s="1389"/>
      <c r="AI12" s="1389"/>
      <c r="AJ12" s="1389"/>
      <c r="AK12" s="1389"/>
    </row>
    <row r="13" spans="1:37" s="1306" customFormat="1" ht="48">
      <c r="A13" s="1415">
        <v>1</v>
      </c>
      <c r="B13" s="1418" t="s">
        <v>1215</v>
      </c>
      <c r="C13" s="1411"/>
      <c r="D13" s="1456" t="s">
        <v>1328</v>
      </c>
      <c r="E13" s="1381">
        <f>F13+G13+H13+I13+J13+K13</f>
        <v>2000</v>
      </c>
      <c r="F13" s="1438"/>
      <c r="G13" s="1409">
        <v>2000</v>
      </c>
      <c r="H13" s="1438"/>
      <c r="I13" s="1438"/>
      <c r="J13" s="1412"/>
      <c r="K13" s="1438"/>
      <c r="L13" s="1438">
        <f>N13</f>
        <v>1947.7882999999999</v>
      </c>
      <c r="M13" s="1438"/>
      <c r="N13" s="1409">
        <v>1947.7882999999999</v>
      </c>
      <c r="O13" s="1438"/>
      <c r="P13" s="1438"/>
      <c r="Q13" s="1439">
        <f>S13</f>
        <v>1000</v>
      </c>
      <c r="R13" s="1438"/>
      <c r="S13" s="1438">
        <v>1000</v>
      </c>
      <c r="T13" s="1438"/>
      <c r="U13" s="1438"/>
      <c r="V13" s="1382">
        <f>W13+X13+Y13+Z13+AA13+AB13+AC13</f>
        <v>947.78830000000005</v>
      </c>
      <c r="W13" s="1438"/>
      <c r="X13" s="1409">
        <v>947.78830000000005</v>
      </c>
      <c r="Y13" s="1438"/>
      <c r="Z13" s="1438"/>
      <c r="AA13" s="1438"/>
      <c r="AB13" s="1438"/>
      <c r="AC13" s="1412"/>
      <c r="AD13" s="1382">
        <f>AE13+AF13+AG13+AH13+AI13+AJ13+AK13</f>
        <v>947.78830000000005</v>
      </c>
      <c r="AE13" s="1381"/>
      <c r="AF13" s="1409">
        <v>947.78830000000005</v>
      </c>
      <c r="AG13" s="1381"/>
      <c r="AH13" s="1381"/>
      <c r="AI13" s="1381"/>
      <c r="AJ13" s="1381"/>
      <c r="AK13" s="1381"/>
    </row>
    <row r="14" spans="1:37" s="1306" customFormat="1" ht="45">
      <c r="A14" s="1415">
        <f>+A13+1</f>
        <v>2</v>
      </c>
      <c r="B14" s="1418" t="s">
        <v>1216</v>
      </c>
      <c r="C14" s="1411"/>
      <c r="D14" s="1457" t="s">
        <v>1329</v>
      </c>
      <c r="E14" s="1381">
        <f t="shared" ref="E14:E76" si="3">F14+G14+H14+I14+J14+K14</f>
        <v>500</v>
      </c>
      <c r="F14" s="1438"/>
      <c r="G14" s="1409">
        <v>500</v>
      </c>
      <c r="H14" s="1438"/>
      <c r="I14" s="1438"/>
      <c r="J14" s="1412"/>
      <c r="K14" s="1438"/>
      <c r="L14" s="1438"/>
      <c r="M14" s="1438"/>
      <c r="N14" s="1409"/>
      <c r="O14" s="1438"/>
      <c r="P14" s="1438"/>
      <c r="Q14" s="1439"/>
      <c r="R14" s="1438"/>
      <c r="S14" s="1438"/>
      <c r="T14" s="1438"/>
      <c r="U14" s="1438"/>
      <c r="V14" s="1382">
        <f t="shared" ref="V14:V74" si="4">W14+X14+Y14+Z14+AA14+AB14+AC14</f>
        <v>475.93849999999998</v>
      </c>
      <c r="W14" s="1438"/>
      <c r="X14" s="1409">
        <v>475.93849999999998</v>
      </c>
      <c r="Y14" s="1438"/>
      <c r="Z14" s="1438"/>
      <c r="AA14" s="1438"/>
      <c r="AB14" s="1438"/>
      <c r="AC14" s="1412"/>
      <c r="AD14" s="1382">
        <f t="shared" ref="AD14:AD76" si="5">AE14+AF14+AG14+AH14+AI14+AJ14+AK14</f>
        <v>475.93849999999998</v>
      </c>
      <c r="AE14" s="1381"/>
      <c r="AF14" s="1409">
        <v>475.93849999999998</v>
      </c>
      <c r="AG14" s="1381"/>
      <c r="AH14" s="1381"/>
      <c r="AI14" s="1381"/>
      <c r="AJ14" s="1381"/>
      <c r="AK14" s="1381"/>
    </row>
    <row r="15" spans="1:37" s="1306" customFormat="1" ht="45">
      <c r="A15" s="1415">
        <f t="shared" ref="A15:A19" si="6">+A14+1</f>
        <v>3</v>
      </c>
      <c r="B15" s="1418" t="s">
        <v>1217</v>
      </c>
      <c r="C15" s="1411"/>
      <c r="D15" s="1457" t="s">
        <v>1330</v>
      </c>
      <c r="E15" s="1381">
        <f t="shared" si="3"/>
        <v>800</v>
      </c>
      <c r="F15" s="1438"/>
      <c r="G15" s="1409">
        <v>800</v>
      </c>
      <c r="H15" s="1438"/>
      <c r="I15" s="1438"/>
      <c r="J15" s="1412"/>
      <c r="K15" s="1438"/>
      <c r="L15" s="1438"/>
      <c r="M15" s="1438"/>
      <c r="N15" s="1409"/>
      <c r="O15" s="1438"/>
      <c r="P15" s="1438"/>
      <c r="Q15" s="1439"/>
      <c r="R15" s="1438"/>
      <c r="S15" s="1438"/>
      <c r="T15" s="1438"/>
      <c r="U15" s="1438"/>
      <c r="V15" s="1382">
        <f t="shared" si="4"/>
        <v>757.32360000000006</v>
      </c>
      <c r="W15" s="1438"/>
      <c r="X15" s="1409">
        <v>757.32360000000006</v>
      </c>
      <c r="Y15" s="1438"/>
      <c r="Z15" s="1438"/>
      <c r="AA15" s="1438"/>
      <c r="AB15" s="1438"/>
      <c r="AC15" s="1412"/>
      <c r="AD15" s="1382">
        <f t="shared" si="5"/>
        <v>757.32360000000006</v>
      </c>
      <c r="AE15" s="1381"/>
      <c r="AF15" s="1409">
        <v>757.32360000000006</v>
      </c>
      <c r="AG15" s="1381"/>
      <c r="AH15" s="1381"/>
      <c r="AI15" s="1381"/>
      <c r="AJ15" s="1381"/>
      <c r="AK15" s="1381"/>
    </row>
    <row r="16" spans="1:37" s="1306" customFormat="1" ht="48">
      <c r="A16" s="1415">
        <f t="shared" si="6"/>
        <v>4</v>
      </c>
      <c r="B16" s="1404" t="s">
        <v>1218</v>
      </c>
      <c r="C16" s="1411"/>
      <c r="D16" s="1456" t="s">
        <v>1331</v>
      </c>
      <c r="E16" s="1381">
        <f t="shared" si="3"/>
        <v>500</v>
      </c>
      <c r="F16" s="1438"/>
      <c r="G16" s="1409">
        <v>500</v>
      </c>
      <c r="H16" s="1438"/>
      <c r="I16" s="1438"/>
      <c r="J16" s="1412"/>
      <c r="K16" s="1438"/>
      <c r="L16" s="1438">
        <f>N16</f>
        <v>495.30149999999998</v>
      </c>
      <c r="M16" s="1438"/>
      <c r="N16" s="1409">
        <v>495.30149999999998</v>
      </c>
      <c r="O16" s="1438"/>
      <c r="P16" s="1438"/>
      <c r="Q16" s="1439">
        <f>S16</f>
        <v>250</v>
      </c>
      <c r="R16" s="1438"/>
      <c r="S16" s="1438">
        <v>250</v>
      </c>
      <c r="T16" s="1438"/>
      <c r="U16" s="1438"/>
      <c r="V16" s="1382">
        <f t="shared" si="4"/>
        <v>245.3015</v>
      </c>
      <c r="W16" s="1438"/>
      <c r="X16" s="1409">
        <v>245.3015</v>
      </c>
      <c r="Y16" s="1438"/>
      <c r="Z16" s="1438"/>
      <c r="AA16" s="1438"/>
      <c r="AB16" s="1438"/>
      <c r="AC16" s="1412"/>
      <c r="AD16" s="1382">
        <f t="shared" si="5"/>
        <v>245.3015</v>
      </c>
      <c r="AE16" s="1381"/>
      <c r="AF16" s="1409">
        <v>245.3015</v>
      </c>
      <c r="AG16" s="1381"/>
      <c r="AH16" s="1381"/>
      <c r="AI16" s="1381"/>
      <c r="AJ16" s="1381"/>
      <c r="AK16" s="1381"/>
    </row>
    <row r="17" spans="1:37" s="1305" customFormat="1" ht="48">
      <c r="A17" s="1415">
        <f t="shared" si="6"/>
        <v>5</v>
      </c>
      <c r="B17" s="1404" t="s">
        <v>1219</v>
      </c>
      <c r="C17" s="1440"/>
      <c r="D17" s="1456" t="s">
        <v>1332</v>
      </c>
      <c r="E17" s="1381">
        <f t="shared" si="3"/>
        <v>400</v>
      </c>
      <c r="F17" s="1389"/>
      <c r="G17" s="1409">
        <v>400</v>
      </c>
      <c r="H17" s="1389"/>
      <c r="I17" s="1389"/>
      <c r="J17" s="1389"/>
      <c r="K17" s="1389"/>
      <c r="L17" s="1381">
        <f>N17</f>
        <v>391.46710000000002</v>
      </c>
      <c r="M17" s="1389"/>
      <c r="N17" s="1409">
        <v>391.46710000000002</v>
      </c>
      <c r="O17" s="1389"/>
      <c r="P17" s="1389"/>
      <c r="Q17" s="1381">
        <f>S17</f>
        <v>200</v>
      </c>
      <c r="R17" s="1389"/>
      <c r="S17" s="1381">
        <v>200</v>
      </c>
      <c r="T17" s="1389"/>
      <c r="U17" s="1389"/>
      <c r="V17" s="1382">
        <f t="shared" si="4"/>
        <v>191.46709999999999</v>
      </c>
      <c r="W17" s="1389"/>
      <c r="X17" s="1409">
        <v>191.46709999999999</v>
      </c>
      <c r="Y17" s="1389"/>
      <c r="Z17" s="1389"/>
      <c r="AA17" s="1389"/>
      <c r="AB17" s="1389"/>
      <c r="AC17" s="1389"/>
      <c r="AD17" s="1382">
        <f t="shared" si="5"/>
        <v>191.46709999999999</v>
      </c>
      <c r="AE17" s="1389"/>
      <c r="AF17" s="1409">
        <v>191.46709999999999</v>
      </c>
      <c r="AG17" s="1389"/>
      <c r="AH17" s="1389"/>
      <c r="AI17" s="1389"/>
      <c r="AJ17" s="1389"/>
      <c r="AK17" s="1389"/>
    </row>
    <row r="18" spans="1:37" ht="48">
      <c r="A18" s="1415">
        <f t="shared" si="6"/>
        <v>6</v>
      </c>
      <c r="B18" s="1404" t="s">
        <v>1220</v>
      </c>
      <c r="C18" s="1411"/>
      <c r="D18" s="1456" t="s">
        <v>1333</v>
      </c>
      <c r="E18" s="1381">
        <f t="shared" si="3"/>
        <v>300</v>
      </c>
      <c r="F18" s="1381"/>
      <c r="G18" s="1409">
        <v>300</v>
      </c>
      <c r="H18" s="1382"/>
      <c r="I18" s="1381"/>
      <c r="J18" s="1381"/>
      <c r="K18" s="1381"/>
      <c r="L18" s="1381">
        <f>N18</f>
        <v>297.0224</v>
      </c>
      <c r="M18" s="1381"/>
      <c r="N18" s="1409">
        <v>297.0224</v>
      </c>
      <c r="O18" s="1381"/>
      <c r="P18" s="1381"/>
      <c r="Q18" s="1381">
        <f>S18</f>
        <v>150</v>
      </c>
      <c r="R18" s="1381"/>
      <c r="S18" s="1382">
        <v>150</v>
      </c>
      <c r="T18" s="1381"/>
      <c r="U18" s="1381"/>
      <c r="V18" s="1382">
        <f t="shared" si="4"/>
        <v>147.0224</v>
      </c>
      <c r="W18" s="1381"/>
      <c r="X18" s="1409">
        <v>147.0224</v>
      </c>
      <c r="Y18" s="1382"/>
      <c r="Z18" s="1382"/>
      <c r="AA18" s="1381"/>
      <c r="AB18" s="1381"/>
      <c r="AC18" s="1381"/>
      <c r="AD18" s="1382">
        <f t="shared" si="5"/>
        <v>147.0224</v>
      </c>
      <c r="AE18" s="1381"/>
      <c r="AF18" s="1409">
        <v>147.0224</v>
      </c>
      <c r="AG18" s="1382"/>
      <c r="AH18" s="1381"/>
      <c r="AI18" s="1381"/>
      <c r="AJ18" s="1381"/>
      <c r="AK18" s="1381"/>
    </row>
    <row r="19" spans="1:37" ht="36">
      <c r="A19" s="1415">
        <f t="shared" si="6"/>
        <v>7</v>
      </c>
      <c r="B19" s="1404" t="s">
        <v>1221</v>
      </c>
      <c r="C19" s="1441"/>
      <c r="D19" s="1456" t="s">
        <v>1334</v>
      </c>
      <c r="E19" s="1381">
        <f t="shared" si="3"/>
        <v>118.9496</v>
      </c>
      <c r="F19" s="1391"/>
      <c r="G19" s="1409">
        <v>118.9496</v>
      </c>
      <c r="H19" s="1391"/>
      <c r="I19" s="1391"/>
      <c r="J19" s="1391"/>
      <c r="K19" s="1391"/>
      <c r="L19" s="1391"/>
      <c r="M19" s="1391"/>
      <c r="N19" s="1409"/>
      <c r="O19" s="1391"/>
      <c r="P19" s="1391"/>
      <c r="Q19" s="1391"/>
      <c r="R19" s="1391"/>
      <c r="S19" s="1391"/>
      <c r="T19" s="1391"/>
      <c r="U19" s="1391"/>
      <c r="V19" s="1382">
        <f t="shared" si="4"/>
        <v>118.9496</v>
      </c>
      <c r="W19" s="1391"/>
      <c r="X19" s="1409">
        <v>118.9496</v>
      </c>
      <c r="Y19" s="1391"/>
      <c r="Z19" s="1391"/>
      <c r="AA19" s="1391"/>
      <c r="AB19" s="1391"/>
      <c r="AC19" s="1391"/>
      <c r="AD19" s="1382">
        <f t="shared" si="5"/>
        <v>118.55759999999999</v>
      </c>
      <c r="AE19" s="1391"/>
      <c r="AF19" s="1409">
        <v>118.55759999999999</v>
      </c>
      <c r="AG19" s="1391"/>
      <c r="AH19" s="1391"/>
      <c r="AI19" s="1391"/>
      <c r="AJ19" s="1391"/>
      <c r="AK19" s="1391"/>
    </row>
    <row r="20" spans="1:37" s="1304" customFormat="1" ht="24">
      <c r="A20" s="1413" t="s">
        <v>149</v>
      </c>
      <c r="B20" s="1414" t="s">
        <v>1222</v>
      </c>
      <c r="C20" s="1436"/>
      <c r="D20" s="1437"/>
      <c r="E20" s="1389">
        <f>E21+E26</f>
        <v>12080.995754999998</v>
      </c>
      <c r="F20" s="1389"/>
      <c r="G20" s="1389"/>
      <c r="H20" s="1389">
        <f t="shared" ref="H20:AJ20" si="7">H21+H26</f>
        <v>427.1</v>
      </c>
      <c r="I20" s="1389">
        <f t="shared" si="7"/>
        <v>11653.895754999998</v>
      </c>
      <c r="J20" s="1389"/>
      <c r="K20" s="1389"/>
      <c r="L20" s="1389"/>
      <c r="M20" s="1389"/>
      <c r="N20" s="1389"/>
      <c r="O20" s="1389"/>
      <c r="P20" s="1389"/>
      <c r="Q20" s="1389"/>
      <c r="R20" s="1389"/>
      <c r="S20" s="1389"/>
      <c r="T20" s="1389"/>
      <c r="U20" s="1389"/>
      <c r="V20" s="1389">
        <f t="shared" si="7"/>
        <v>12444.438754999996</v>
      </c>
      <c r="W20" s="1389"/>
      <c r="X20" s="1389"/>
      <c r="Y20" s="1389"/>
      <c r="Z20" s="1389">
        <f t="shared" si="7"/>
        <v>539.11000000000013</v>
      </c>
      <c r="AA20" s="1389"/>
      <c r="AB20" s="1389">
        <f t="shared" si="7"/>
        <v>11905.328754999997</v>
      </c>
      <c r="AC20" s="1389"/>
      <c r="AD20" s="1389">
        <f t="shared" si="7"/>
        <v>12074.713300000001</v>
      </c>
      <c r="AE20" s="1389"/>
      <c r="AF20" s="1389"/>
      <c r="AG20" s="1389"/>
      <c r="AH20" s="1389">
        <f t="shared" si="7"/>
        <v>535.1</v>
      </c>
      <c r="AI20" s="1389"/>
      <c r="AJ20" s="1389">
        <f t="shared" si="7"/>
        <v>11539.613300000001</v>
      </c>
      <c r="AK20" s="1389"/>
    </row>
    <row r="21" spans="1:37" s="1304" customFormat="1" ht="60">
      <c r="A21" s="1442" t="s">
        <v>1223</v>
      </c>
      <c r="B21" s="1414" t="s">
        <v>1284</v>
      </c>
      <c r="C21" s="1436"/>
      <c r="D21" s="1437"/>
      <c r="E21" s="1389"/>
      <c r="F21" s="1389"/>
      <c r="G21" s="1389"/>
      <c r="H21" s="1391"/>
      <c r="I21" s="1391"/>
      <c r="J21" s="1389"/>
      <c r="K21" s="1389"/>
      <c r="L21" s="1391"/>
      <c r="M21" s="1389"/>
      <c r="N21" s="1389"/>
      <c r="O21" s="1389"/>
      <c r="P21" s="1389"/>
      <c r="Q21" s="1391"/>
      <c r="R21" s="1389"/>
      <c r="S21" s="1389"/>
      <c r="T21" s="1389"/>
      <c r="U21" s="1391"/>
      <c r="V21" s="1391">
        <f>V22</f>
        <v>1232</v>
      </c>
      <c r="W21" s="1391"/>
      <c r="X21" s="1391"/>
      <c r="Y21" s="1391"/>
      <c r="Z21" s="1391">
        <f t="shared" ref="Z21:AJ21" si="8">Z22</f>
        <v>112</v>
      </c>
      <c r="AA21" s="1391"/>
      <c r="AB21" s="1391">
        <f t="shared" si="8"/>
        <v>1120</v>
      </c>
      <c r="AC21" s="1391"/>
      <c r="AD21" s="1391">
        <f t="shared" si="8"/>
        <v>1188</v>
      </c>
      <c r="AE21" s="1391"/>
      <c r="AF21" s="1391"/>
      <c r="AG21" s="1391"/>
      <c r="AH21" s="1391">
        <f t="shared" si="8"/>
        <v>108</v>
      </c>
      <c r="AI21" s="1391"/>
      <c r="AJ21" s="1391">
        <f t="shared" si="8"/>
        <v>1080</v>
      </c>
      <c r="AK21" s="1391"/>
    </row>
    <row r="22" spans="1:37">
      <c r="A22" s="1443"/>
      <c r="B22" s="1444" t="s">
        <v>1224</v>
      </c>
      <c r="C22" s="1441"/>
      <c r="D22" s="1411"/>
      <c r="E22" s="1381"/>
      <c r="F22" s="1381"/>
      <c r="G22" s="1382"/>
      <c r="H22" s="1381"/>
      <c r="I22" s="1381"/>
      <c r="J22" s="1381"/>
      <c r="K22" s="1381"/>
      <c r="L22" s="1382"/>
      <c r="M22" s="1381"/>
      <c r="N22" s="1382"/>
      <c r="O22" s="1381"/>
      <c r="P22" s="1381"/>
      <c r="Q22" s="1382"/>
      <c r="R22" s="1381"/>
      <c r="S22" s="1382"/>
      <c r="T22" s="1381"/>
      <c r="U22" s="1381"/>
      <c r="V22" s="1382">
        <f>SUM(V23:V25)</f>
        <v>1232</v>
      </c>
      <c r="W22" s="1382"/>
      <c r="X22" s="1382"/>
      <c r="Y22" s="1382"/>
      <c r="Z22" s="1382">
        <f t="shared" ref="Z22:AJ22" si="9">SUM(Z23:Z25)</f>
        <v>112</v>
      </c>
      <c r="AA22" s="1382"/>
      <c r="AB22" s="1382">
        <f t="shared" si="9"/>
        <v>1120</v>
      </c>
      <c r="AC22" s="1382"/>
      <c r="AD22" s="1382">
        <f t="shared" si="9"/>
        <v>1188</v>
      </c>
      <c r="AE22" s="1382"/>
      <c r="AF22" s="1382"/>
      <c r="AG22" s="1382"/>
      <c r="AH22" s="1382">
        <f t="shared" si="9"/>
        <v>108</v>
      </c>
      <c r="AI22" s="1382"/>
      <c r="AJ22" s="1382">
        <f t="shared" si="9"/>
        <v>1080</v>
      </c>
      <c r="AK22" s="1382"/>
    </row>
    <row r="23" spans="1:37">
      <c r="A23" s="1405">
        <v>1</v>
      </c>
      <c r="B23" s="1445" t="s">
        <v>713</v>
      </c>
      <c r="C23" s="1441"/>
      <c r="D23" s="1411"/>
      <c r="E23" s="1381"/>
      <c r="F23" s="1381"/>
      <c r="G23" s="1381"/>
      <c r="H23" s="1382"/>
      <c r="I23" s="1382"/>
      <c r="J23" s="1381"/>
      <c r="K23" s="1381"/>
      <c r="L23" s="1382"/>
      <c r="M23" s="1381"/>
      <c r="N23" s="1381"/>
      <c r="O23" s="1381"/>
      <c r="P23" s="1381"/>
      <c r="Q23" s="1382"/>
      <c r="R23" s="1381"/>
      <c r="S23" s="1381"/>
      <c r="T23" s="1381"/>
      <c r="U23" s="1381"/>
      <c r="V23" s="1382">
        <f t="shared" si="4"/>
        <v>352</v>
      </c>
      <c r="W23" s="1381"/>
      <c r="X23" s="1381"/>
      <c r="Y23" s="1381"/>
      <c r="Z23" s="1382">
        <v>32</v>
      </c>
      <c r="AA23" s="1382"/>
      <c r="AB23" s="1381">
        <v>320</v>
      </c>
      <c r="AC23" s="1381"/>
      <c r="AD23" s="1382">
        <f t="shared" si="5"/>
        <v>352</v>
      </c>
      <c r="AE23" s="1381"/>
      <c r="AF23" s="1381"/>
      <c r="AG23" s="1381"/>
      <c r="AH23" s="1382">
        <v>32</v>
      </c>
      <c r="AI23" s="1382"/>
      <c r="AJ23" s="1382">
        <v>320</v>
      </c>
      <c r="AK23" s="1381"/>
    </row>
    <row r="24" spans="1:37">
      <c r="A24" s="1446">
        <f>+A23+1</f>
        <v>2</v>
      </c>
      <c r="B24" s="1447" t="s">
        <v>715</v>
      </c>
      <c r="C24" s="1441"/>
      <c r="D24" s="1411"/>
      <c r="E24" s="1381"/>
      <c r="F24" s="1381"/>
      <c r="G24" s="1381"/>
      <c r="H24" s="1381"/>
      <c r="I24" s="1381"/>
      <c r="J24" s="1381"/>
      <c r="K24" s="1381"/>
      <c r="L24" s="1382"/>
      <c r="M24" s="1381"/>
      <c r="N24" s="1381"/>
      <c r="O24" s="1381"/>
      <c r="P24" s="1381"/>
      <c r="Q24" s="1382"/>
      <c r="R24" s="1381"/>
      <c r="S24" s="1381"/>
      <c r="T24" s="1381"/>
      <c r="U24" s="1381"/>
      <c r="V24" s="1382">
        <f t="shared" si="4"/>
        <v>396</v>
      </c>
      <c r="W24" s="1381"/>
      <c r="X24" s="1381"/>
      <c r="Y24" s="1381"/>
      <c r="Z24" s="1381">
        <v>36</v>
      </c>
      <c r="AA24" s="1381"/>
      <c r="AB24" s="1381">
        <v>360</v>
      </c>
      <c r="AC24" s="1381"/>
      <c r="AD24" s="1382">
        <f t="shared" si="5"/>
        <v>352</v>
      </c>
      <c r="AE24" s="1381"/>
      <c r="AF24" s="1381"/>
      <c r="AG24" s="1381"/>
      <c r="AH24" s="1381">
        <v>32</v>
      </c>
      <c r="AI24" s="1381"/>
      <c r="AJ24" s="1381">
        <v>320</v>
      </c>
      <c r="AK24" s="1381"/>
    </row>
    <row r="25" spans="1:37">
      <c r="A25" s="1405">
        <f>+A24+1</f>
        <v>3</v>
      </c>
      <c r="B25" s="1445" t="s">
        <v>720</v>
      </c>
      <c r="C25" s="1441"/>
      <c r="D25" s="1411"/>
      <c r="E25" s="1381"/>
      <c r="F25" s="1381"/>
      <c r="G25" s="1381"/>
      <c r="H25" s="1381"/>
      <c r="I25" s="1382"/>
      <c r="J25" s="1381"/>
      <c r="K25" s="1381"/>
      <c r="L25" s="1382"/>
      <c r="M25" s="1381"/>
      <c r="N25" s="1381"/>
      <c r="O25" s="1381"/>
      <c r="P25" s="1381"/>
      <c r="Q25" s="1382"/>
      <c r="R25" s="1381"/>
      <c r="S25" s="1381"/>
      <c r="T25" s="1381"/>
      <c r="U25" s="1381"/>
      <c r="V25" s="1382">
        <f t="shared" si="4"/>
        <v>484</v>
      </c>
      <c r="W25" s="1381"/>
      <c r="X25" s="1381"/>
      <c r="Y25" s="1381"/>
      <c r="Z25" s="1381">
        <v>44</v>
      </c>
      <c r="AA25" s="1381"/>
      <c r="AB25" s="1382">
        <v>440</v>
      </c>
      <c r="AC25" s="1381"/>
      <c r="AD25" s="1382">
        <f t="shared" si="5"/>
        <v>484</v>
      </c>
      <c r="AE25" s="1381"/>
      <c r="AF25" s="1381"/>
      <c r="AG25" s="1381"/>
      <c r="AH25" s="1381">
        <v>44</v>
      </c>
      <c r="AI25" s="1381"/>
      <c r="AJ25" s="1382">
        <v>440</v>
      </c>
      <c r="AK25" s="1381"/>
    </row>
    <row r="26" spans="1:37" s="1304" customFormat="1" ht="72">
      <c r="A26" s="1442" t="s">
        <v>1225</v>
      </c>
      <c r="B26" s="1414" t="s">
        <v>1285</v>
      </c>
      <c r="C26" s="1436"/>
      <c r="D26" s="1437"/>
      <c r="E26" s="1389">
        <f>E27</f>
        <v>12080.995754999998</v>
      </c>
      <c r="F26" s="1389"/>
      <c r="G26" s="1389"/>
      <c r="H26" s="1389">
        <f>H27</f>
        <v>427.1</v>
      </c>
      <c r="I26" s="1391">
        <f>I27</f>
        <v>11653.895754999998</v>
      </c>
      <c r="J26" s="1389"/>
      <c r="K26" s="1389"/>
      <c r="L26" s="1391"/>
      <c r="M26" s="1389"/>
      <c r="N26" s="1389"/>
      <c r="O26" s="1389"/>
      <c r="P26" s="1389"/>
      <c r="Q26" s="1391"/>
      <c r="R26" s="1389"/>
      <c r="S26" s="1389"/>
      <c r="T26" s="1389"/>
      <c r="U26" s="1389"/>
      <c r="V26" s="1391">
        <f>V27</f>
        <v>11212.438754999996</v>
      </c>
      <c r="W26" s="1389"/>
      <c r="X26" s="1389"/>
      <c r="Y26" s="1389"/>
      <c r="Z26" s="1389">
        <f>Z27</f>
        <v>427.11000000000007</v>
      </c>
      <c r="AA26" s="1389"/>
      <c r="AB26" s="1391">
        <f>AB27</f>
        <v>10785.328754999997</v>
      </c>
      <c r="AC26" s="1389"/>
      <c r="AD26" s="1391">
        <f>AD27</f>
        <v>10886.713300000001</v>
      </c>
      <c r="AE26" s="1389"/>
      <c r="AF26" s="1389"/>
      <c r="AG26" s="1389"/>
      <c r="AH26" s="1389">
        <f>AH27</f>
        <v>427.1</v>
      </c>
      <c r="AI26" s="1389"/>
      <c r="AJ26" s="1391">
        <f>AJ27</f>
        <v>10459.613300000001</v>
      </c>
      <c r="AK26" s="1389"/>
    </row>
    <row r="27" spans="1:37" ht="60">
      <c r="A27" s="1443"/>
      <c r="B27" s="1444" t="s">
        <v>1226</v>
      </c>
      <c r="C27" s="1441"/>
      <c r="D27" s="1411"/>
      <c r="E27" s="1381">
        <f>SUM(E28:E48)</f>
        <v>12080.995754999998</v>
      </c>
      <c r="F27" s="1381"/>
      <c r="G27" s="1381"/>
      <c r="H27" s="1381">
        <f t="shared" ref="H27:AB27" si="10">SUM(H28:H48)</f>
        <v>427.1</v>
      </c>
      <c r="I27" s="1381">
        <f t="shared" si="10"/>
        <v>11653.895754999998</v>
      </c>
      <c r="J27" s="1381"/>
      <c r="K27" s="1381"/>
      <c r="L27" s="1381"/>
      <c r="M27" s="1381"/>
      <c r="N27" s="1381"/>
      <c r="O27" s="1381"/>
      <c r="P27" s="1381"/>
      <c r="Q27" s="1381"/>
      <c r="R27" s="1381"/>
      <c r="S27" s="1381"/>
      <c r="T27" s="1381"/>
      <c r="U27" s="1381"/>
      <c r="V27" s="1381">
        <f t="shared" ref="V27" si="11">SUM(V28:V48)</f>
        <v>11212.438754999996</v>
      </c>
      <c r="W27" s="1381"/>
      <c r="X27" s="1381"/>
      <c r="Y27" s="1381"/>
      <c r="Z27" s="1381">
        <f t="shared" si="10"/>
        <v>427.11000000000007</v>
      </c>
      <c r="AA27" s="1381"/>
      <c r="AB27" s="1381">
        <f t="shared" si="10"/>
        <v>10785.328754999997</v>
      </c>
      <c r="AC27" s="1381"/>
      <c r="AD27" s="1381">
        <f t="shared" ref="AD27" si="12">SUM(AD28:AD48)</f>
        <v>10886.713300000001</v>
      </c>
      <c r="AE27" s="1381"/>
      <c r="AF27" s="1381"/>
      <c r="AG27" s="1381"/>
      <c r="AH27" s="1381">
        <f t="shared" ref="AH27" si="13">SUM(AH28:AH48)</f>
        <v>427.1</v>
      </c>
      <c r="AI27" s="1381"/>
      <c r="AJ27" s="1381">
        <f t="shared" ref="AJ27" si="14">SUM(AJ28:AJ48)</f>
        <v>10459.613300000001</v>
      </c>
      <c r="AK27" s="1381"/>
    </row>
    <row r="28" spans="1:37" ht="60">
      <c r="A28" s="1405">
        <v>1</v>
      </c>
      <c r="B28" s="1406" t="s">
        <v>1228</v>
      </c>
      <c r="C28" s="1441"/>
      <c r="D28" s="1448" t="s">
        <v>1291</v>
      </c>
      <c r="E28" s="1381">
        <f t="shared" si="3"/>
        <v>414.89</v>
      </c>
      <c r="F28" s="1381"/>
      <c r="G28" s="1381"/>
      <c r="H28" s="1381">
        <v>20</v>
      </c>
      <c r="I28" s="1381">
        <v>394.89</v>
      </c>
      <c r="J28" s="1381"/>
      <c r="K28" s="1382"/>
      <c r="L28" s="1382"/>
      <c r="M28" s="1381"/>
      <c r="N28" s="1381"/>
      <c r="O28" s="1381"/>
      <c r="P28" s="1381"/>
      <c r="Q28" s="1382"/>
      <c r="R28" s="1381"/>
      <c r="S28" s="1381"/>
      <c r="T28" s="1381"/>
      <c r="U28" s="1381"/>
      <c r="V28" s="1382">
        <f t="shared" si="4"/>
        <v>401.04579999999999</v>
      </c>
      <c r="W28" s="1381"/>
      <c r="X28" s="1381"/>
      <c r="Y28" s="1381"/>
      <c r="Z28" s="1381">
        <v>20</v>
      </c>
      <c r="AA28" s="1381"/>
      <c r="AB28" s="1381">
        <v>381.04579999999999</v>
      </c>
      <c r="AC28" s="1381"/>
      <c r="AD28" s="1382">
        <f t="shared" si="5"/>
        <v>401.04579999999999</v>
      </c>
      <c r="AE28" s="1381"/>
      <c r="AF28" s="1381"/>
      <c r="AG28" s="1381"/>
      <c r="AH28" s="1381">
        <v>20</v>
      </c>
      <c r="AI28" s="1381"/>
      <c r="AJ28" s="1381">
        <v>381.04579999999999</v>
      </c>
      <c r="AK28" s="1381"/>
    </row>
    <row r="29" spans="1:37" ht="60">
      <c r="A29" s="1405">
        <f t="shared" ref="A29:A40" si="15">+A28+1</f>
        <v>2</v>
      </c>
      <c r="B29" s="1406" t="s">
        <v>1229</v>
      </c>
      <c r="C29" s="1441"/>
      <c r="D29" s="1448" t="s">
        <v>1292</v>
      </c>
      <c r="E29" s="1381">
        <f t="shared" si="3"/>
        <v>559</v>
      </c>
      <c r="F29" s="1381"/>
      <c r="G29" s="1381"/>
      <c r="H29" s="1381">
        <v>27</v>
      </c>
      <c r="I29" s="1381">
        <v>532</v>
      </c>
      <c r="J29" s="1381"/>
      <c r="K29" s="1382"/>
      <c r="L29" s="1382"/>
      <c r="M29" s="1381"/>
      <c r="N29" s="1381"/>
      <c r="O29" s="1381"/>
      <c r="P29" s="1381"/>
      <c r="Q29" s="1382"/>
      <c r="R29" s="1381"/>
      <c r="S29" s="1381"/>
      <c r="T29" s="1381"/>
      <c r="U29" s="1381"/>
      <c r="V29" s="1382">
        <f t="shared" si="4"/>
        <v>539.52419999999995</v>
      </c>
      <c r="W29" s="1381"/>
      <c r="X29" s="1381"/>
      <c r="Y29" s="1381"/>
      <c r="Z29" s="1381">
        <v>27</v>
      </c>
      <c r="AA29" s="1381"/>
      <c r="AB29" s="1381">
        <v>512.52419999999995</v>
      </c>
      <c r="AC29" s="1381"/>
      <c r="AD29" s="1382">
        <f t="shared" si="5"/>
        <v>539.52419999999995</v>
      </c>
      <c r="AE29" s="1381"/>
      <c r="AF29" s="1381"/>
      <c r="AG29" s="1381"/>
      <c r="AH29" s="1381">
        <v>27</v>
      </c>
      <c r="AI29" s="1381"/>
      <c r="AJ29" s="1381">
        <v>512.52419999999995</v>
      </c>
      <c r="AK29" s="1381"/>
    </row>
    <row r="30" spans="1:37" ht="60">
      <c r="A30" s="1405">
        <f t="shared" si="15"/>
        <v>3</v>
      </c>
      <c r="B30" s="1406" t="s">
        <v>1230</v>
      </c>
      <c r="C30" s="1441"/>
      <c r="D30" s="1448" t="s">
        <v>1293</v>
      </c>
      <c r="E30" s="1381">
        <f t="shared" si="3"/>
        <v>1050</v>
      </c>
      <c r="F30" s="1381"/>
      <c r="G30" s="1381"/>
      <c r="H30" s="1381">
        <v>50</v>
      </c>
      <c r="I30" s="1381">
        <v>1000</v>
      </c>
      <c r="J30" s="1381"/>
      <c r="K30" s="1382"/>
      <c r="L30" s="1382"/>
      <c r="M30" s="1381"/>
      <c r="N30" s="1381"/>
      <c r="O30" s="1381"/>
      <c r="P30" s="1381"/>
      <c r="Q30" s="1382"/>
      <c r="R30" s="1381"/>
      <c r="S30" s="1381"/>
      <c r="T30" s="1381"/>
      <c r="U30" s="1381"/>
      <c r="V30" s="1382">
        <f t="shared" si="4"/>
        <v>765.01260000000002</v>
      </c>
      <c r="W30" s="1381"/>
      <c r="X30" s="1381"/>
      <c r="Y30" s="1381"/>
      <c r="Z30" s="1381">
        <v>50</v>
      </c>
      <c r="AA30" s="1381"/>
      <c r="AB30" s="1381">
        <v>715.01260000000002</v>
      </c>
      <c r="AC30" s="1381"/>
      <c r="AD30" s="1382">
        <f t="shared" si="5"/>
        <v>765.01260000000002</v>
      </c>
      <c r="AE30" s="1381"/>
      <c r="AF30" s="1381"/>
      <c r="AG30" s="1381"/>
      <c r="AH30" s="1381">
        <v>50</v>
      </c>
      <c r="AI30" s="1381"/>
      <c r="AJ30" s="1381">
        <v>715.01260000000002</v>
      </c>
      <c r="AK30" s="1381"/>
    </row>
    <row r="31" spans="1:37" ht="60">
      <c r="A31" s="1405">
        <f t="shared" si="15"/>
        <v>4</v>
      </c>
      <c r="B31" s="1406" t="s">
        <v>1231</v>
      </c>
      <c r="C31" s="1441"/>
      <c r="D31" s="1415" t="s">
        <v>1301</v>
      </c>
      <c r="E31" s="1381">
        <f t="shared" si="3"/>
        <v>525</v>
      </c>
      <c r="F31" s="1381"/>
      <c r="G31" s="1381"/>
      <c r="H31" s="1381">
        <v>25</v>
      </c>
      <c r="I31" s="1381">
        <v>500</v>
      </c>
      <c r="J31" s="1381"/>
      <c r="K31" s="1382"/>
      <c r="L31" s="1382"/>
      <c r="M31" s="1381"/>
      <c r="N31" s="1381"/>
      <c r="O31" s="1381"/>
      <c r="P31" s="1381"/>
      <c r="Q31" s="1382"/>
      <c r="R31" s="1381"/>
      <c r="S31" s="1381"/>
      <c r="T31" s="1381"/>
      <c r="U31" s="1381"/>
      <c r="V31" s="1382">
        <f t="shared" si="4"/>
        <v>525</v>
      </c>
      <c r="W31" s="1381"/>
      <c r="X31" s="1381"/>
      <c r="Y31" s="1381"/>
      <c r="Z31" s="1381">
        <v>25</v>
      </c>
      <c r="AA31" s="1381"/>
      <c r="AB31" s="1381">
        <v>500</v>
      </c>
      <c r="AC31" s="1381"/>
      <c r="AD31" s="1382">
        <f t="shared" si="5"/>
        <v>482.99520000000001</v>
      </c>
      <c r="AE31" s="1381"/>
      <c r="AF31" s="1381"/>
      <c r="AG31" s="1381"/>
      <c r="AH31" s="1382">
        <v>25</v>
      </c>
      <c r="AI31" s="1381"/>
      <c r="AJ31" s="1382">
        <v>457.99520000000001</v>
      </c>
      <c r="AK31" s="1381"/>
    </row>
    <row r="32" spans="1:37" ht="60">
      <c r="A32" s="1405">
        <f t="shared" si="15"/>
        <v>5</v>
      </c>
      <c r="B32" s="1406" t="s">
        <v>1232</v>
      </c>
      <c r="C32" s="1441"/>
      <c r="D32" s="1415" t="s">
        <v>1302</v>
      </c>
      <c r="E32" s="1381">
        <f t="shared" si="3"/>
        <v>630</v>
      </c>
      <c r="F32" s="1381"/>
      <c r="G32" s="1381"/>
      <c r="H32" s="1381">
        <v>30</v>
      </c>
      <c r="I32" s="1381">
        <v>600</v>
      </c>
      <c r="J32" s="1381"/>
      <c r="K32" s="1382"/>
      <c r="L32" s="1382"/>
      <c r="M32" s="1381"/>
      <c r="N32" s="1381"/>
      <c r="O32" s="1381"/>
      <c r="P32" s="1381"/>
      <c r="Q32" s="1382"/>
      <c r="R32" s="1381"/>
      <c r="S32" s="1381"/>
      <c r="T32" s="1381"/>
      <c r="U32" s="1381"/>
      <c r="V32" s="1382">
        <f t="shared" si="4"/>
        <v>630</v>
      </c>
      <c r="W32" s="1381"/>
      <c r="X32" s="1381"/>
      <c r="Y32" s="1381"/>
      <c r="Z32" s="1381">
        <v>30</v>
      </c>
      <c r="AA32" s="1381"/>
      <c r="AB32" s="1381">
        <v>600</v>
      </c>
      <c r="AC32" s="1381"/>
      <c r="AD32" s="1382">
        <f t="shared" si="5"/>
        <v>528.23469999999998</v>
      </c>
      <c r="AE32" s="1381"/>
      <c r="AF32" s="1381"/>
      <c r="AG32" s="1381"/>
      <c r="AH32" s="1382">
        <v>30</v>
      </c>
      <c r="AI32" s="1381"/>
      <c r="AJ32" s="1382">
        <v>498.23469999999998</v>
      </c>
      <c r="AK32" s="1381"/>
    </row>
    <row r="33" spans="1:38" ht="60">
      <c r="A33" s="1405">
        <f t="shared" si="15"/>
        <v>6</v>
      </c>
      <c r="B33" s="1406" t="s">
        <v>1233</v>
      </c>
      <c r="C33" s="1441"/>
      <c r="D33" s="1415" t="s">
        <v>1297</v>
      </c>
      <c r="E33" s="1381">
        <f t="shared" si="3"/>
        <v>945</v>
      </c>
      <c r="F33" s="1381"/>
      <c r="G33" s="1381"/>
      <c r="H33" s="1382">
        <v>45</v>
      </c>
      <c r="I33" s="1382">
        <v>900</v>
      </c>
      <c r="J33" s="1381"/>
      <c r="K33" s="1381"/>
      <c r="L33" s="1382"/>
      <c r="M33" s="1381"/>
      <c r="N33" s="1381"/>
      <c r="O33" s="1381"/>
      <c r="P33" s="1381"/>
      <c r="Q33" s="1382"/>
      <c r="R33" s="1381"/>
      <c r="S33" s="1381"/>
      <c r="T33" s="1382"/>
      <c r="U33" s="1382"/>
      <c r="V33" s="1382">
        <f t="shared" si="4"/>
        <v>812.1</v>
      </c>
      <c r="W33" s="1381"/>
      <c r="X33" s="1381"/>
      <c r="Y33" s="1382"/>
      <c r="Z33" s="1382">
        <v>45</v>
      </c>
      <c r="AA33" s="1382"/>
      <c r="AB33" s="1382">
        <v>767.1</v>
      </c>
      <c r="AC33" s="1381"/>
      <c r="AD33" s="1382">
        <f t="shared" si="5"/>
        <v>763.24390000000005</v>
      </c>
      <c r="AE33" s="1381"/>
      <c r="AF33" s="1381"/>
      <c r="AG33" s="1382"/>
      <c r="AH33" s="1382">
        <v>45</v>
      </c>
      <c r="AI33" s="1382"/>
      <c r="AJ33" s="1382">
        <v>718.24390000000005</v>
      </c>
      <c r="AK33" s="1381"/>
    </row>
    <row r="34" spans="1:38" ht="60">
      <c r="A34" s="1405">
        <f t="shared" si="15"/>
        <v>7</v>
      </c>
      <c r="B34" s="1449" t="s">
        <v>1234</v>
      </c>
      <c r="C34" s="1441"/>
      <c r="D34" s="1434" t="s">
        <v>1300</v>
      </c>
      <c r="E34" s="1381">
        <f t="shared" si="3"/>
        <v>630</v>
      </c>
      <c r="F34" s="1450"/>
      <c r="G34" s="1450"/>
      <c r="H34" s="1450">
        <v>30</v>
      </c>
      <c r="I34" s="1450">
        <v>600</v>
      </c>
      <c r="J34" s="1381"/>
      <c r="K34" s="1381"/>
      <c r="L34" s="1382"/>
      <c r="M34" s="1381"/>
      <c r="N34" s="1381"/>
      <c r="O34" s="1381"/>
      <c r="P34" s="1381"/>
      <c r="Q34" s="1382"/>
      <c r="R34" s="1381"/>
      <c r="S34" s="1381"/>
      <c r="T34" s="1381"/>
      <c r="U34" s="1381"/>
      <c r="V34" s="1382">
        <f t="shared" si="4"/>
        <v>630</v>
      </c>
      <c r="W34" s="1381"/>
      <c r="X34" s="1381"/>
      <c r="Y34" s="1381"/>
      <c r="Z34" s="1450">
        <v>30</v>
      </c>
      <c r="AA34" s="1450"/>
      <c r="AB34" s="1450">
        <v>600</v>
      </c>
      <c r="AC34" s="1381"/>
      <c r="AD34" s="1382">
        <f t="shared" si="5"/>
        <v>594.71900000000005</v>
      </c>
      <c r="AE34" s="1381"/>
      <c r="AF34" s="1381"/>
      <c r="AG34" s="1381"/>
      <c r="AH34" s="1450">
        <v>30</v>
      </c>
      <c r="AI34" s="1381"/>
      <c r="AJ34" s="1382">
        <v>564.71900000000005</v>
      </c>
      <c r="AK34" s="1381"/>
    </row>
    <row r="35" spans="1:38" ht="60">
      <c r="A35" s="1405">
        <f t="shared" si="15"/>
        <v>8</v>
      </c>
      <c r="B35" s="1408" t="s">
        <v>1235</v>
      </c>
      <c r="C35" s="1441"/>
      <c r="D35" s="1448" t="s">
        <v>1286</v>
      </c>
      <c r="E35" s="1381">
        <f t="shared" si="3"/>
        <v>200</v>
      </c>
      <c r="F35" s="1450"/>
      <c r="G35" s="1450"/>
      <c r="H35" s="1450">
        <v>9.5</v>
      </c>
      <c r="I35" s="1450">
        <v>190.5</v>
      </c>
      <c r="J35" s="1381"/>
      <c r="K35" s="1381"/>
      <c r="L35" s="1382"/>
      <c r="M35" s="1381"/>
      <c r="N35" s="1381"/>
      <c r="O35" s="1381"/>
      <c r="P35" s="1381"/>
      <c r="Q35" s="1382"/>
      <c r="R35" s="1381"/>
      <c r="S35" s="1381"/>
      <c r="T35" s="1381"/>
      <c r="U35" s="1381"/>
      <c r="V35" s="1382">
        <f t="shared" si="4"/>
        <v>156.87010000000001</v>
      </c>
      <c r="W35" s="1381"/>
      <c r="X35" s="1381"/>
      <c r="Y35" s="1381"/>
      <c r="Z35" s="1450">
        <v>9.5</v>
      </c>
      <c r="AA35" s="1450"/>
      <c r="AB35" s="1450">
        <v>147.37010000000001</v>
      </c>
      <c r="AC35" s="1381"/>
      <c r="AD35" s="1382">
        <f t="shared" si="5"/>
        <v>156.87010000000001</v>
      </c>
      <c r="AE35" s="1381"/>
      <c r="AF35" s="1381"/>
      <c r="AG35" s="1381"/>
      <c r="AH35" s="1450">
        <v>9.5</v>
      </c>
      <c r="AI35" s="1381"/>
      <c r="AJ35" s="1382">
        <v>147.37010000000001</v>
      </c>
      <c r="AK35" s="1381"/>
    </row>
    <row r="36" spans="1:38" ht="60">
      <c r="A36" s="1405">
        <f t="shared" si="15"/>
        <v>9</v>
      </c>
      <c r="B36" s="1408" t="s">
        <v>1236</v>
      </c>
      <c r="C36" s="1441"/>
      <c r="D36" s="1448" t="s">
        <v>1289</v>
      </c>
      <c r="E36" s="1381">
        <f t="shared" si="3"/>
        <v>300</v>
      </c>
      <c r="F36" s="1450"/>
      <c r="G36" s="1450"/>
      <c r="H36" s="1450">
        <v>14.5</v>
      </c>
      <c r="I36" s="1450">
        <v>285.5</v>
      </c>
      <c r="J36" s="1381"/>
      <c r="K36" s="1381"/>
      <c r="L36" s="1382"/>
      <c r="M36" s="1381"/>
      <c r="N36" s="1381"/>
      <c r="O36" s="1381"/>
      <c r="P36" s="1381"/>
      <c r="Q36" s="1382"/>
      <c r="R36" s="1381"/>
      <c r="S36" s="1381"/>
      <c r="T36" s="1381"/>
      <c r="U36" s="1381"/>
      <c r="V36" s="1382">
        <f t="shared" si="4"/>
        <v>279.40809999999999</v>
      </c>
      <c r="W36" s="1381"/>
      <c r="X36" s="1381"/>
      <c r="Y36" s="1381"/>
      <c r="Z36" s="1450">
        <v>14.5</v>
      </c>
      <c r="AA36" s="1450"/>
      <c r="AB36" s="1450">
        <v>264.90809999999999</v>
      </c>
      <c r="AC36" s="1381"/>
      <c r="AD36" s="1382">
        <f t="shared" si="5"/>
        <v>279.40809999999999</v>
      </c>
      <c r="AE36" s="1381"/>
      <c r="AF36" s="1381"/>
      <c r="AG36" s="1381"/>
      <c r="AH36" s="1450">
        <v>14.5</v>
      </c>
      <c r="AI36" s="1381"/>
      <c r="AJ36" s="1382">
        <v>264.90809999999999</v>
      </c>
      <c r="AK36" s="1381"/>
    </row>
    <row r="37" spans="1:38" ht="60">
      <c r="A37" s="1405">
        <f t="shared" si="15"/>
        <v>10</v>
      </c>
      <c r="B37" s="1451" t="s">
        <v>1237</v>
      </c>
      <c r="C37" s="1441"/>
      <c r="D37" s="1448" t="s">
        <v>1290</v>
      </c>
      <c r="E37" s="1381">
        <f t="shared" si="3"/>
        <v>498.75</v>
      </c>
      <c r="F37" s="1450"/>
      <c r="G37" s="1450"/>
      <c r="H37" s="1450">
        <v>23.75</v>
      </c>
      <c r="I37" s="1450">
        <v>475</v>
      </c>
      <c r="J37" s="1381"/>
      <c r="K37" s="1381"/>
      <c r="L37" s="1382"/>
      <c r="M37" s="1381"/>
      <c r="N37" s="1381"/>
      <c r="O37" s="1381"/>
      <c r="P37" s="1381"/>
      <c r="Q37" s="1382"/>
      <c r="R37" s="1381"/>
      <c r="S37" s="1381"/>
      <c r="T37" s="1381"/>
      <c r="U37" s="1381"/>
      <c r="V37" s="1382">
        <f t="shared" si="4"/>
        <v>384.49950000000001</v>
      </c>
      <c r="W37" s="1381"/>
      <c r="X37" s="1381"/>
      <c r="Y37" s="1381"/>
      <c r="Z37" s="1450">
        <v>23.75</v>
      </c>
      <c r="AA37" s="1450"/>
      <c r="AB37" s="1450">
        <v>360.74950000000001</v>
      </c>
      <c r="AC37" s="1381"/>
      <c r="AD37" s="1382">
        <f t="shared" si="5"/>
        <v>384.49950000000001</v>
      </c>
      <c r="AE37" s="1381"/>
      <c r="AF37" s="1381"/>
      <c r="AG37" s="1381"/>
      <c r="AH37" s="1450">
        <v>23.75</v>
      </c>
      <c r="AI37" s="1381"/>
      <c r="AJ37" s="1382">
        <v>360.74950000000001</v>
      </c>
      <c r="AK37" s="1381"/>
    </row>
    <row r="38" spans="1:38" ht="60">
      <c r="A38" s="1405">
        <f t="shared" si="15"/>
        <v>11</v>
      </c>
      <c r="B38" s="1451" t="s">
        <v>1238</v>
      </c>
      <c r="C38" s="1441"/>
      <c r="D38" s="1434" t="s">
        <v>1303</v>
      </c>
      <c r="E38" s="1381">
        <f t="shared" si="3"/>
        <v>739.56999999999994</v>
      </c>
      <c r="F38" s="1450"/>
      <c r="G38" s="1450"/>
      <c r="H38" s="1450">
        <v>7.9</v>
      </c>
      <c r="I38" s="1450">
        <v>731.67</v>
      </c>
      <c r="J38" s="1381"/>
      <c r="K38" s="1381"/>
      <c r="L38" s="1382"/>
      <c r="M38" s="1381"/>
      <c r="N38" s="1381"/>
      <c r="O38" s="1381"/>
      <c r="P38" s="1381"/>
      <c r="Q38" s="1382"/>
      <c r="R38" s="1381"/>
      <c r="S38" s="1381"/>
      <c r="T38" s="1381"/>
      <c r="U38" s="1381"/>
      <c r="V38" s="1382">
        <f t="shared" si="4"/>
        <v>739.56999999999994</v>
      </c>
      <c r="W38" s="1381"/>
      <c r="X38" s="1381"/>
      <c r="Y38" s="1381"/>
      <c r="Z38" s="1450">
        <v>7.9</v>
      </c>
      <c r="AA38" s="1450"/>
      <c r="AB38" s="1450">
        <v>731.67</v>
      </c>
      <c r="AC38" s="1381"/>
      <c r="AD38" s="1382">
        <f t="shared" si="5"/>
        <v>720.01900000000001</v>
      </c>
      <c r="AE38" s="1381"/>
      <c r="AF38" s="1381"/>
      <c r="AG38" s="1381"/>
      <c r="AH38" s="1450">
        <v>7.9</v>
      </c>
      <c r="AI38" s="1381"/>
      <c r="AJ38" s="1382">
        <v>712.11900000000003</v>
      </c>
      <c r="AK38" s="1381"/>
    </row>
    <row r="39" spans="1:38" ht="60">
      <c r="A39" s="1405">
        <f t="shared" si="15"/>
        <v>12</v>
      </c>
      <c r="B39" s="1406" t="s">
        <v>1239</v>
      </c>
      <c r="C39" s="1441"/>
      <c r="D39" s="1434" t="s">
        <v>1304</v>
      </c>
      <c r="E39" s="1381">
        <f t="shared" si="3"/>
        <v>550</v>
      </c>
      <c r="F39" s="1450"/>
      <c r="G39" s="1450"/>
      <c r="H39" s="1450">
        <v>25.85</v>
      </c>
      <c r="I39" s="1450">
        <v>524.15</v>
      </c>
      <c r="J39" s="1381"/>
      <c r="K39" s="1381"/>
      <c r="L39" s="1382"/>
      <c r="M39" s="1381"/>
      <c r="N39" s="1381"/>
      <c r="O39" s="1381"/>
      <c r="P39" s="1381"/>
      <c r="Q39" s="1382"/>
      <c r="R39" s="1381"/>
      <c r="S39" s="1381"/>
      <c r="T39" s="1381"/>
      <c r="U39" s="1381"/>
      <c r="V39" s="1382">
        <f t="shared" si="4"/>
        <v>550</v>
      </c>
      <c r="W39" s="1381"/>
      <c r="X39" s="1381"/>
      <c r="Y39" s="1381"/>
      <c r="Z39" s="1450">
        <v>25.85</v>
      </c>
      <c r="AA39" s="1450"/>
      <c r="AB39" s="1450">
        <v>524.15</v>
      </c>
      <c r="AC39" s="1381"/>
      <c r="AD39" s="1382">
        <f t="shared" si="5"/>
        <v>505.96870000000001</v>
      </c>
      <c r="AE39" s="1381"/>
      <c r="AF39" s="1381"/>
      <c r="AG39" s="1381"/>
      <c r="AH39" s="1450">
        <v>25.85</v>
      </c>
      <c r="AI39" s="1381"/>
      <c r="AJ39" s="1382">
        <v>480.11869999999999</v>
      </c>
      <c r="AK39" s="1381"/>
    </row>
    <row r="40" spans="1:38" ht="60">
      <c r="A40" s="1405">
        <f t="shared" si="15"/>
        <v>13</v>
      </c>
      <c r="B40" s="1406" t="s">
        <v>1240</v>
      </c>
      <c r="C40" s="1441"/>
      <c r="D40" s="1448" t="s">
        <v>1305</v>
      </c>
      <c r="E40" s="1381">
        <f t="shared" si="3"/>
        <v>1678.935755</v>
      </c>
      <c r="F40" s="1450"/>
      <c r="G40" s="1450"/>
      <c r="H40" s="1450">
        <v>17.7</v>
      </c>
      <c r="I40" s="1450">
        <v>1661.2357549999999</v>
      </c>
      <c r="J40" s="1381"/>
      <c r="K40" s="1381"/>
      <c r="L40" s="1382"/>
      <c r="M40" s="1381"/>
      <c r="N40" s="1381"/>
      <c r="O40" s="1381"/>
      <c r="P40" s="1381"/>
      <c r="Q40" s="1382"/>
      <c r="R40" s="1381"/>
      <c r="S40" s="1381"/>
      <c r="T40" s="1381"/>
      <c r="U40" s="1381"/>
      <c r="V40" s="1382">
        <f t="shared" si="4"/>
        <v>1678.935755</v>
      </c>
      <c r="W40" s="1381"/>
      <c r="X40" s="1381"/>
      <c r="Y40" s="1381"/>
      <c r="Z40" s="1450">
        <v>17.7</v>
      </c>
      <c r="AA40" s="1450"/>
      <c r="AB40" s="1450">
        <v>1661.2357549999999</v>
      </c>
      <c r="AC40" s="1381"/>
      <c r="AD40" s="1382">
        <f t="shared" si="5"/>
        <v>1658.7</v>
      </c>
      <c r="AE40" s="1381"/>
      <c r="AF40" s="1381"/>
      <c r="AG40" s="1381"/>
      <c r="AH40" s="1450">
        <v>17.7</v>
      </c>
      <c r="AI40" s="1381"/>
      <c r="AJ40" s="1382">
        <v>1641</v>
      </c>
      <c r="AK40" s="1381"/>
    </row>
    <row r="41" spans="1:38" ht="60">
      <c r="A41" s="1405">
        <f t="shared" ref="A41:A48" si="16">+A40+1</f>
        <v>14</v>
      </c>
      <c r="B41" s="1406" t="s">
        <v>1241</v>
      </c>
      <c r="C41" s="1441"/>
      <c r="D41" s="1448" t="s">
        <v>1287</v>
      </c>
      <c r="E41" s="1381">
        <f t="shared" si="3"/>
        <v>169.5</v>
      </c>
      <c r="F41" s="1450"/>
      <c r="G41" s="1450"/>
      <c r="H41" s="1450">
        <v>9.5</v>
      </c>
      <c r="I41" s="1450">
        <v>160</v>
      </c>
      <c r="J41" s="1381"/>
      <c r="K41" s="1381"/>
      <c r="L41" s="1382"/>
      <c r="M41" s="1381"/>
      <c r="N41" s="1381"/>
      <c r="O41" s="1381"/>
      <c r="P41" s="1381"/>
      <c r="Q41" s="1382"/>
      <c r="R41" s="1381"/>
      <c r="S41" s="1381"/>
      <c r="T41" s="1381"/>
      <c r="U41" s="1381"/>
      <c r="V41" s="1382">
        <f t="shared" si="4"/>
        <v>145.2056</v>
      </c>
      <c r="W41" s="1381"/>
      <c r="X41" s="1381"/>
      <c r="Y41" s="1381"/>
      <c r="Z41" s="1450">
        <v>9.5</v>
      </c>
      <c r="AA41" s="1450"/>
      <c r="AB41" s="1450">
        <v>135.7056</v>
      </c>
      <c r="AC41" s="1381"/>
      <c r="AD41" s="1382">
        <f t="shared" si="5"/>
        <v>145.2056</v>
      </c>
      <c r="AE41" s="1381"/>
      <c r="AF41" s="1381"/>
      <c r="AG41" s="1381"/>
      <c r="AH41" s="1450">
        <v>9.5</v>
      </c>
      <c r="AI41" s="1450"/>
      <c r="AJ41" s="1450">
        <v>135.7056</v>
      </c>
      <c r="AK41" s="1381"/>
    </row>
    <row r="42" spans="1:38" ht="60">
      <c r="A42" s="1405">
        <f t="shared" si="16"/>
        <v>15</v>
      </c>
      <c r="B42" s="1406" t="s">
        <v>1242</v>
      </c>
      <c r="C42" s="1441"/>
      <c r="D42" s="1448" t="s">
        <v>1288</v>
      </c>
      <c r="E42" s="1381">
        <f t="shared" si="3"/>
        <v>420</v>
      </c>
      <c r="F42" s="1450"/>
      <c r="G42" s="1450"/>
      <c r="H42" s="1450">
        <v>20</v>
      </c>
      <c r="I42" s="1450">
        <v>400</v>
      </c>
      <c r="J42" s="1381"/>
      <c r="K42" s="1381"/>
      <c r="L42" s="1382"/>
      <c r="M42" s="1381"/>
      <c r="N42" s="1381"/>
      <c r="O42" s="1381"/>
      <c r="P42" s="1381"/>
      <c r="Q42" s="1382"/>
      <c r="R42" s="1381"/>
      <c r="S42" s="1381"/>
      <c r="T42" s="1381"/>
      <c r="U42" s="1381"/>
      <c r="V42" s="1382">
        <f t="shared" si="4"/>
        <v>377.43119999999999</v>
      </c>
      <c r="W42" s="1381"/>
      <c r="X42" s="1381"/>
      <c r="Y42" s="1381"/>
      <c r="Z42" s="1450">
        <v>20</v>
      </c>
      <c r="AA42" s="1450"/>
      <c r="AB42" s="1450">
        <v>357.43119999999999</v>
      </c>
      <c r="AC42" s="1381"/>
      <c r="AD42" s="1382">
        <f t="shared" si="5"/>
        <v>377.43119999999999</v>
      </c>
      <c r="AE42" s="1381"/>
      <c r="AF42" s="1381"/>
      <c r="AG42" s="1381"/>
      <c r="AH42" s="1450">
        <v>20</v>
      </c>
      <c r="AI42" s="1450"/>
      <c r="AJ42" s="1450">
        <v>357.43119999999999</v>
      </c>
      <c r="AK42" s="1381"/>
    </row>
    <row r="43" spans="1:38" ht="60">
      <c r="A43" s="1405">
        <f t="shared" si="16"/>
        <v>16</v>
      </c>
      <c r="B43" s="1406" t="s">
        <v>1243</v>
      </c>
      <c r="C43" s="1441"/>
      <c r="D43" s="1448" t="s">
        <v>1294</v>
      </c>
      <c r="E43" s="1381">
        <f t="shared" si="3"/>
        <v>605.28</v>
      </c>
      <c r="F43" s="1450"/>
      <c r="G43" s="1450"/>
      <c r="H43" s="1450">
        <v>12.1</v>
      </c>
      <c r="I43" s="1450">
        <v>593.17999999999995</v>
      </c>
      <c r="J43" s="1381"/>
      <c r="K43" s="1381"/>
      <c r="L43" s="1382"/>
      <c r="M43" s="1381"/>
      <c r="N43" s="1381"/>
      <c r="O43" s="1381"/>
      <c r="P43" s="1381"/>
      <c r="Q43" s="1382"/>
      <c r="R43" s="1381"/>
      <c r="S43" s="1381"/>
      <c r="T43" s="1381"/>
      <c r="U43" s="1381"/>
      <c r="V43" s="1382">
        <f t="shared" si="4"/>
        <v>604.27160000000003</v>
      </c>
      <c r="W43" s="1381"/>
      <c r="X43" s="1381"/>
      <c r="Y43" s="1381"/>
      <c r="Z43" s="1450">
        <v>12.1</v>
      </c>
      <c r="AA43" s="1450"/>
      <c r="AB43" s="1450">
        <v>592.17160000000001</v>
      </c>
      <c r="AC43" s="1381"/>
      <c r="AD43" s="1382">
        <f t="shared" si="5"/>
        <v>604.27160000000003</v>
      </c>
      <c r="AE43" s="1381"/>
      <c r="AF43" s="1381"/>
      <c r="AG43" s="1381"/>
      <c r="AH43" s="1450">
        <v>12.1</v>
      </c>
      <c r="AI43" s="1450"/>
      <c r="AJ43" s="1450">
        <v>592.17160000000001</v>
      </c>
      <c r="AK43" s="1381"/>
    </row>
    <row r="44" spans="1:38" s="1304" customFormat="1" ht="60">
      <c r="A44" s="1405">
        <f t="shared" si="16"/>
        <v>17</v>
      </c>
      <c r="B44" s="1406" t="s">
        <v>1244</v>
      </c>
      <c r="C44" s="1436"/>
      <c r="D44" s="1448" t="s">
        <v>1295</v>
      </c>
      <c r="E44" s="1381">
        <f t="shared" si="3"/>
        <v>470.55</v>
      </c>
      <c r="F44" s="1391"/>
      <c r="G44" s="1391"/>
      <c r="H44" s="1382">
        <v>8.39</v>
      </c>
      <c r="I44" s="1382">
        <v>462.16</v>
      </c>
      <c r="J44" s="1391"/>
      <c r="K44" s="1391"/>
      <c r="L44" s="1391"/>
      <c r="M44" s="1391"/>
      <c r="N44" s="1391"/>
      <c r="O44" s="1391"/>
      <c r="P44" s="1391"/>
      <c r="Q44" s="1391"/>
      <c r="R44" s="1391"/>
      <c r="S44" s="1391"/>
      <c r="T44" s="1391"/>
      <c r="U44" s="1391"/>
      <c r="V44" s="1382">
        <f t="shared" si="4"/>
        <v>466.88720000000001</v>
      </c>
      <c r="W44" s="1391"/>
      <c r="X44" s="1391"/>
      <c r="Y44" s="1391"/>
      <c r="Z44" s="1382">
        <v>8.39</v>
      </c>
      <c r="AA44" s="1391"/>
      <c r="AB44" s="1382">
        <v>458.49720000000002</v>
      </c>
      <c r="AC44" s="1391"/>
      <c r="AD44" s="1382">
        <f t="shared" si="5"/>
        <v>466.88720000000001</v>
      </c>
      <c r="AE44" s="1391"/>
      <c r="AF44" s="1391"/>
      <c r="AG44" s="1391"/>
      <c r="AH44" s="1382">
        <v>8.39</v>
      </c>
      <c r="AI44" s="1391"/>
      <c r="AJ44" s="1382">
        <v>458.49720000000002</v>
      </c>
      <c r="AK44" s="1391"/>
      <c r="AL44" s="1308"/>
    </row>
    <row r="45" spans="1:38" ht="48">
      <c r="A45" s="1405">
        <f t="shared" si="16"/>
        <v>18</v>
      </c>
      <c r="B45" s="1406" t="s">
        <v>1245</v>
      </c>
      <c r="C45" s="1441"/>
      <c r="D45" s="1405" t="s">
        <v>1306</v>
      </c>
      <c r="E45" s="1381">
        <f t="shared" si="3"/>
        <v>627.45999999999992</v>
      </c>
      <c r="F45" s="1381"/>
      <c r="G45" s="1381"/>
      <c r="H45" s="1381">
        <v>14.91</v>
      </c>
      <c r="I45" s="1381">
        <v>612.54999999999995</v>
      </c>
      <c r="J45" s="1381"/>
      <c r="K45" s="1381"/>
      <c r="L45" s="1382"/>
      <c r="M45" s="1381"/>
      <c r="N45" s="1381"/>
      <c r="O45" s="1381"/>
      <c r="P45" s="1381"/>
      <c r="Q45" s="1382"/>
      <c r="R45" s="1381"/>
      <c r="S45" s="1381"/>
      <c r="T45" s="1381"/>
      <c r="U45" s="1381"/>
      <c r="V45" s="1382">
        <f t="shared" si="4"/>
        <v>627.45999999999992</v>
      </c>
      <c r="W45" s="1381"/>
      <c r="X45" s="1381"/>
      <c r="Y45" s="1381"/>
      <c r="Z45" s="1381">
        <v>14.91</v>
      </c>
      <c r="AA45" s="1381"/>
      <c r="AB45" s="1381">
        <v>612.54999999999995</v>
      </c>
      <c r="AC45" s="1381"/>
      <c r="AD45" s="1382">
        <f t="shared" si="5"/>
        <v>627.45979999999997</v>
      </c>
      <c r="AE45" s="1381"/>
      <c r="AF45" s="1381"/>
      <c r="AG45" s="1381"/>
      <c r="AH45" s="1381">
        <v>14.91</v>
      </c>
      <c r="AI45" s="1381"/>
      <c r="AJ45" s="1381">
        <v>612.5498</v>
      </c>
      <c r="AK45" s="1381"/>
    </row>
    <row r="46" spans="1:38" ht="48">
      <c r="A46" s="1405">
        <f t="shared" si="16"/>
        <v>19</v>
      </c>
      <c r="B46" s="1406" t="s">
        <v>1246</v>
      </c>
      <c r="C46" s="1407"/>
      <c r="D46" s="1380" t="s">
        <v>1296</v>
      </c>
      <c r="E46" s="1381">
        <f t="shared" si="3"/>
        <v>627.45999999999992</v>
      </c>
      <c r="F46" s="1409"/>
      <c r="G46" s="1409"/>
      <c r="H46" s="1409">
        <v>14.9</v>
      </c>
      <c r="I46" s="1409">
        <v>612.55999999999995</v>
      </c>
      <c r="J46" s="1422"/>
      <c r="K46" s="1409"/>
      <c r="L46" s="1409"/>
      <c r="M46" s="1409"/>
      <c r="N46" s="1409"/>
      <c r="O46" s="1409"/>
      <c r="P46" s="1409"/>
      <c r="Q46" s="1409"/>
      <c r="R46" s="1409"/>
      <c r="S46" s="1409"/>
      <c r="T46" s="1409"/>
      <c r="U46" s="1409"/>
      <c r="V46" s="1382">
        <f t="shared" si="4"/>
        <v>597.68529999999998</v>
      </c>
      <c r="W46" s="1409"/>
      <c r="X46" s="1409"/>
      <c r="Y46" s="1409"/>
      <c r="Z46" s="1409">
        <v>14.91</v>
      </c>
      <c r="AA46" s="1409"/>
      <c r="AB46" s="1409">
        <v>582.77530000000002</v>
      </c>
      <c r="AC46" s="1409"/>
      <c r="AD46" s="1382">
        <f t="shared" si="5"/>
        <v>597.67529999999999</v>
      </c>
      <c r="AE46" s="1409"/>
      <c r="AF46" s="1409"/>
      <c r="AG46" s="1423"/>
      <c r="AH46" s="1387">
        <v>14.9</v>
      </c>
      <c r="AI46" s="1387"/>
      <c r="AJ46" s="1387">
        <v>582.77530000000002</v>
      </c>
      <c r="AK46" s="1423"/>
    </row>
    <row r="47" spans="1:38" ht="60">
      <c r="A47" s="1405">
        <f t="shared" si="16"/>
        <v>20</v>
      </c>
      <c r="B47" s="1408" t="s">
        <v>1247</v>
      </c>
      <c r="C47" s="1385"/>
      <c r="D47" s="1405" t="s">
        <v>1298</v>
      </c>
      <c r="E47" s="1381">
        <f t="shared" si="3"/>
        <v>200</v>
      </c>
      <c r="F47" s="1424"/>
      <c r="G47" s="1424"/>
      <c r="H47" s="1424">
        <v>9.5</v>
      </c>
      <c r="I47" s="1424">
        <v>190.5</v>
      </c>
      <c r="J47" s="1422"/>
      <c r="K47" s="1409"/>
      <c r="L47" s="1409"/>
      <c r="M47" s="1409"/>
      <c r="N47" s="1409"/>
      <c r="O47" s="1409"/>
      <c r="P47" s="1409"/>
      <c r="Q47" s="1409"/>
      <c r="R47" s="1409"/>
      <c r="S47" s="1409"/>
      <c r="T47" s="1409"/>
      <c r="U47" s="1409"/>
      <c r="V47" s="1382">
        <f t="shared" si="4"/>
        <v>79</v>
      </c>
      <c r="W47" s="1409"/>
      <c r="X47" s="1409"/>
      <c r="Y47" s="1409"/>
      <c r="Z47" s="1424">
        <v>9.5</v>
      </c>
      <c r="AA47" s="1409"/>
      <c r="AB47" s="1424">
        <v>69.5</v>
      </c>
      <c r="AC47" s="1409"/>
      <c r="AD47" s="1382">
        <f t="shared" si="5"/>
        <v>65.009999999999991</v>
      </c>
      <c r="AE47" s="1409"/>
      <c r="AF47" s="1409"/>
      <c r="AG47" s="1425"/>
      <c r="AH47" s="1426">
        <v>9.5</v>
      </c>
      <c r="AI47" s="1426"/>
      <c r="AJ47" s="1426">
        <v>55.51</v>
      </c>
      <c r="AK47" s="1425"/>
    </row>
    <row r="48" spans="1:38" ht="60">
      <c r="A48" s="1405">
        <f t="shared" si="16"/>
        <v>21</v>
      </c>
      <c r="B48" s="1408" t="s">
        <v>1248</v>
      </c>
      <c r="C48" s="1380"/>
      <c r="D48" s="1405" t="s">
        <v>1299</v>
      </c>
      <c r="E48" s="1381">
        <f t="shared" si="3"/>
        <v>239.6</v>
      </c>
      <c r="F48" s="1409"/>
      <c r="G48" s="1409"/>
      <c r="H48" s="1409">
        <v>11.6</v>
      </c>
      <c r="I48" s="1409">
        <v>228</v>
      </c>
      <c r="J48" s="1409"/>
      <c r="K48" s="1409"/>
      <c r="L48" s="1409"/>
      <c r="M48" s="1409"/>
      <c r="N48" s="1409"/>
      <c r="O48" s="1409"/>
      <c r="P48" s="1409"/>
      <c r="Q48" s="1409"/>
      <c r="R48" s="1409"/>
      <c r="S48" s="1409"/>
      <c r="T48" s="1409"/>
      <c r="U48" s="1409"/>
      <c r="V48" s="1382">
        <f t="shared" si="4"/>
        <v>222.5318</v>
      </c>
      <c r="W48" s="1409"/>
      <c r="X48" s="1409"/>
      <c r="Y48" s="1409"/>
      <c r="Z48" s="1409">
        <v>11.6</v>
      </c>
      <c r="AA48" s="1409"/>
      <c r="AB48" s="1409">
        <v>210.93180000000001</v>
      </c>
      <c r="AC48" s="1409"/>
      <c r="AD48" s="1382">
        <f t="shared" si="5"/>
        <v>222.5318</v>
      </c>
      <c r="AE48" s="1409"/>
      <c r="AF48" s="1409"/>
      <c r="AG48" s="1423"/>
      <c r="AH48" s="1387">
        <v>11.6</v>
      </c>
      <c r="AI48" s="1387"/>
      <c r="AJ48" s="1387">
        <v>210.93180000000001</v>
      </c>
      <c r="AK48" s="1423"/>
    </row>
    <row r="49" spans="1:37" s="1304" customFormat="1" ht="36">
      <c r="A49" s="1413" t="s">
        <v>64</v>
      </c>
      <c r="B49" s="1414" t="s">
        <v>1249</v>
      </c>
      <c r="C49" s="1390"/>
      <c r="D49" s="1390"/>
      <c r="E49" s="1389">
        <f>E50+E53</f>
        <v>15300.68</v>
      </c>
      <c r="F49" s="1389"/>
      <c r="G49" s="1389"/>
      <c r="H49" s="1389">
        <f t="shared" ref="H49:U49" si="17">H50+H53</f>
        <v>428.08</v>
      </c>
      <c r="I49" s="1389">
        <f t="shared" si="17"/>
        <v>14872.6</v>
      </c>
      <c r="J49" s="1389"/>
      <c r="K49" s="1389"/>
      <c r="L49" s="1389">
        <f t="shared" si="17"/>
        <v>11482.653241</v>
      </c>
      <c r="M49" s="1389"/>
      <c r="N49" s="1389"/>
      <c r="O49" s="1389">
        <f t="shared" si="17"/>
        <v>17.5</v>
      </c>
      <c r="P49" s="1389">
        <f t="shared" si="17"/>
        <v>11465.153241</v>
      </c>
      <c r="Q49" s="1389">
        <f t="shared" si="17"/>
        <v>15300.68</v>
      </c>
      <c r="R49" s="1389"/>
      <c r="S49" s="1389"/>
      <c r="T49" s="1389">
        <f t="shared" si="17"/>
        <v>428.08</v>
      </c>
      <c r="U49" s="1389">
        <f t="shared" si="17"/>
        <v>14872.6</v>
      </c>
      <c r="V49" s="1391">
        <f>V50+V53</f>
        <v>3954.8776839999996</v>
      </c>
      <c r="W49" s="1391"/>
      <c r="X49" s="1391"/>
      <c r="Y49" s="1391"/>
      <c r="Z49" s="1391">
        <f t="shared" ref="Z49:AG49" si="18">Z50+Z53</f>
        <v>392.08</v>
      </c>
      <c r="AA49" s="1391">
        <f t="shared" si="18"/>
        <v>3562.7976839999997</v>
      </c>
      <c r="AB49" s="1391"/>
      <c r="AC49" s="1391"/>
      <c r="AD49" s="1391">
        <f t="shared" si="18"/>
        <v>3299.049794</v>
      </c>
      <c r="AE49" s="1391"/>
      <c r="AF49" s="1391"/>
      <c r="AG49" s="1391">
        <f t="shared" si="18"/>
        <v>368.59698400000002</v>
      </c>
      <c r="AH49" s="1391"/>
      <c r="AI49" s="1391">
        <f>AI50+AI53</f>
        <v>2930.4528100000002</v>
      </c>
      <c r="AJ49" s="1427"/>
      <c r="AK49" s="1432"/>
    </row>
    <row r="50" spans="1:37" ht="60">
      <c r="A50" s="1442" t="s">
        <v>1250</v>
      </c>
      <c r="B50" s="1414" t="s">
        <v>1284</v>
      </c>
      <c r="C50" s="1380"/>
      <c r="D50" s="1380"/>
      <c r="E50" s="1381">
        <f t="shared" si="3"/>
        <v>0</v>
      </c>
      <c r="F50" s="1409"/>
      <c r="G50" s="1409"/>
      <c r="H50" s="1409"/>
      <c r="I50" s="1409"/>
      <c r="J50" s="1409"/>
      <c r="K50" s="1409"/>
      <c r="L50" s="1409"/>
      <c r="M50" s="1409"/>
      <c r="N50" s="1409"/>
      <c r="O50" s="1409"/>
      <c r="P50" s="1409"/>
      <c r="Q50" s="1409"/>
      <c r="R50" s="1409"/>
      <c r="S50" s="1409"/>
      <c r="T50" s="1409"/>
      <c r="U50" s="1409"/>
      <c r="V50" s="1382">
        <f>V51</f>
        <v>484</v>
      </c>
      <c r="W50" s="1409"/>
      <c r="X50" s="1409"/>
      <c r="Y50" s="1409"/>
      <c r="Z50" s="1409">
        <f>Z51</f>
        <v>44</v>
      </c>
      <c r="AA50" s="1409">
        <f>AA51</f>
        <v>440</v>
      </c>
      <c r="AB50" s="1409"/>
      <c r="AC50" s="1409"/>
      <c r="AD50" s="1382">
        <f>AD51</f>
        <v>484</v>
      </c>
      <c r="AE50" s="1409"/>
      <c r="AF50" s="1409"/>
      <c r="AG50" s="1428">
        <f>AG51</f>
        <v>44</v>
      </c>
      <c r="AH50" s="1428"/>
      <c r="AI50" s="1429">
        <f>AI51</f>
        <v>440</v>
      </c>
      <c r="AJ50" s="1430"/>
      <c r="AK50" s="1428"/>
    </row>
    <row r="51" spans="1:37">
      <c r="A51" s="1446"/>
      <c r="B51" s="1444" t="s">
        <v>1224</v>
      </c>
      <c r="C51" s="1380"/>
      <c r="D51" s="1380"/>
      <c r="E51" s="1381">
        <f t="shared" si="3"/>
        <v>0</v>
      </c>
      <c r="F51" s="1409"/>
      <c r="G51" s="1409"/>
      <c r="H51" s="1409"/>
      <c r="I51" s="1409"/>
      <c r="J51" s="1409"/>
      <c r="K51" s="1409"/>
      <c r="L51" s="1409"/>
      <c r="M51" s="1409"/>
      <c r="N51" s="1409"/>
      <c r="O51" s="1409"/>
      <c r="P51" s="1409"/>
      <c r="Q51" s="1409"/>
      <c r="R51" s="1409"/>
      <c r="S51" s="1409"/>
      <c r="T51" s="1409"/>
      <c r="U51" s="1409"/>
      <c r="V51" s="1382">
        <f>V52</f>
        <v>484</v>
      </c>
      <c r="W51" s="1409"/>
      <c r="X51" s="1409"/>
      <c r="Y51" s="1409"/>
      <c r="Z51" s="1409">
        <f>Z52</f>
        <v>44</v>
      </c>
      <c r="AA51" s="1409">
        <f>AA52</f>
        <v>440</v>
      </c>
      <c r="AB51" s="1409"/>
      <c r="AC51" s="1409"/>
      <c r="AD51" s="1382">
        <f>AD52</f>
        <v>484</v>
      </c>
      <c r="AE51" s="1409"/>
      <c r="AF51" s="1409"/>
      <c r="AG51" s="1428">
        <f>AG52</f>
        <v>44</v>
      </c>
      <c r="AH51" s="1428"/>
      <c r="AI51" s="1431">
        <f>AI52</f>
        <v>440</v>
      </c>
      <c r="AJ51" s="1431"/>
      <c r="AK51" s="1428"/>
    </row>
    <row r="52" spans="1:37">
      <c r="A52" s="1446">
        <v>1</v>
      </c>
      <c r="B52" s="1452" t="s">
        <v>1251</v>
      </c>
      <c r="C52" s="1380"/>
      <c r="D52" s="1380"/>
      <c r="E52" s="1381">
        <f t="shared" si="3"/>
        <v>0</v>
      </c>
      <c r="F52" s="1409"/>
      <c r="G52" s="1409"/>
      <c r="H52" s="1409"/>
      <c r="I52" s="1409"/>
      <c r="J52" s="1409"/>
      <c r="K52" s="1409"/>
      <c r="L52" s="1409"/>
      <c r="M52" s="1409"/>
      <c r="N52" s="1409"/>
      <c r="O52" s="1409"/>
      <c r="P52" s="1409"/>
      <c r="Q52" s="1409"/>
      <c r="R52" s="1409"/>
      <c r="S52" s="1409"/>
      <c r="T52" s="1409"/>
      <c r="U52" s="1409"/>
      <c r="V52" s="1382">
        <f t="shared" si="4"/>
        <v>484</v>
      </c>
      <c r="W52" s="1409"/>
      <c r="X52" s="1409"/>
      <c r="Y52" s="1409"/>
      <c r="Z52" s="1409">
        <v>44</v>
      </c>
      <c r="AA52" s="1409">
        <v>440</v>
      </c>
      <c r="AB52" s="1409"/>
      <c r="AC52" s="1409"/>
      <c r="AD52" s="1382">
        <f t="shared" si="5"/>
        <v>484</v>
      </c>
      <c r="AE52" s="1409"/>
      <c r="AF52" s="1409"/>
      <c r="AG52" s="1428">
        <v>44</v>
      </c>
      <c r="AH52" s="1428"/>
      <c r="AI52" s="1429">
        <v>440</v>
      </c>
      <c r="AJ52" s="1429"/>
      <c r="AK52" s="1428"/>
    </row>
    <row r="53" spans="1:37" ht="72">
      <c r="A53" s="1442" t="s">
        <v>1252</v>
      </c>
      <c r="B53" s="1414" t="s">
        <v>1285</v>
      </c>
      <c r="C53" s="1380"/>
      <c r="D53" s="1380"/>
      <c r="E53" s="1381">
        <f>E54</f>
        <v>15300.68</v>
      </c>
      <c r="F53" s="1409"/>
      <c r="G53" s="1409"/>
      <c r="H53" s="1409">
        <f>H54</f>
        <v>428.08</v>
      </c>
      <c r="I53" s="1409">
        <f>I54</f>
        <v>14872.6</v>
      </c>
      <c r="J53" s="1409"/>
      <c r="K53" s="1409"/>
      <c r="L53" s="1409">
        <f>L54</f>
        <v>11482.653241</v>
      </c>
      <c r="M53" s="1409"/>
      <c r="N53" s="1409"/>
      <c r="O53" s="1409">
        <f t="shared" ref="O53:Q54" si="19">O54</f>
        <v>17.5</v>
      </c>
      <c r="P53" s="1409">
        <f t="shared" si="19"/>
        <v>11465.153241</v>
      </c>
      <c r="Q53" s="1409">
        <f t="shared" si="19"/>
        <v>15300.68</v>
      </c>
      <c r="R53" s="1409"/>
      <c r="S53" s="1409"/>
      <c r="T53" s="1409">
        <f t="shared" ref="T53:V54" si="20">T54</f>
        <v>428.08</v>
      </c>
      <c r="U53" s="1409">
        <f t="shared" si="20"/>
        <v>14872.6</v>
      </c>
      <c r="V53" s="1382">
        <f t="shared" si="20"/>
        <v>3470.8776839999996</v>
      </c>
      <c r="W53" s="1409"/>
      <c r="X53" s="1409"/>
      <c r="Y53" s="1409"/>
      <c r="Z53" s="1409">
        <f>Z54</f>
        <v>348.08</v>
      </c>
      <c r="AA53" s="1409">
        <f>AA54</f>
        <v>3122.7976839999997</v>
      </c>
      <c r="AB53" s="1409"/>
      <c r="AC53" s="1409"/>
      <c r="AD53" s="1382">
        <f>AD54</f>
        <v>2815.049794</v>
      </c>
      <c r="AE53" s="1409"/>
      <c r="AF53" s="1409"/>
      <c r="AG53" s="1388">
        <f>AG54</f>
        <v>324.59698400000002</v>
      </c>
      <c r="AH53" s="1388"/>
      <c r="AI53" s="1410">
        <f>AI54</f>
        <v>2490.4528100000002</v>
      </c>
      <c r="AJ53" s="1429"/>
      <c r="AK53" s="1428"/>
    </row>
    <row r="54" spans="1:37" ht="60">
      <c r="A54" s="1442"/>
      <c r="B54" s="1453" t="s">
        <v>1226</v>
      </c>
      <c r="C54" s="1411"/>
      <c r="D54" s="1411"/>
      <c r="E54" s="1381">
        <f>E55</f>
        <v>15300.68</v>
      </c>
      <c r="F54" s="1409"/>
      <c r="G54" s="1409"/>
      <c r="H54" s="1409">
        <f>H55</f>
        <v>428.08</v>
      </c>
      <c r="I54" s="1409">
        <f>I55</f>
        <v>14872.6</v>
      </c>
      <c r="J54" s="1409"/>
      <c r="K54" s="1409"/>
      <c r="L54" s="1409">
        <f>L55</f>
        <v>11482.653241</v>
      </c>
      <c r="M54" s="1409"/>
      <c r="N54" s="1409"/>
      <c r="O54" s="1409">
        <f t="shared" si="19"/>
        <v>17.5</v>
      </c>
      <c r="P54" s="1409">
        <f t="shared" si="19"/>
        <v>11465.153241</v>
      </c>
      <c r="Q54" s="1409">
        <f t="shared" si="19"/>
        <v>15300.68</v>
      </c>
      <c r="R54" s="1409"/>
      <c r="S54" s="1409"/>
      <c r="T54" s="1409">
        <f t="shared" si="20"/>
        <v>428.08</v>
      </c>
      <c r="U54" s="1409">
        <f t="shared" si="20"/>
        <v>14872.6</v>
      </c>
      <c r="V54" s="1382">
        <f t="shared" si="20"/>
        <v>3470.8776839999996</v>
      </c>
      <c r="W54" s="1412"/>
      <c r="X54" s="1409"/>
      <c r="Y54" s="1409"/>
      <c r="Z54" s="1412">
        <f>Z55</f>
        <v>348.08</v>
      </c>
      <c r="AA54" s="1412">
        <f>AA55</f>
        <v>3122.7976839999997</v>
      </c>
      <c r="AB54" s="1409"/>
      <c r="AC54" s="1409"/>
      <c r="AD54" s="1382">
        <f>AD55</f>
        <v>2815.049794</v>
      </c>
      <c r="AE54" s="1409"/>
      <c r="AF54" s="1409"/>
      <c r="AG54" s="1387">
        <f>AG55</f>
        <v>324.59698400000002</v>
      </c>
      <c r="AH54" s="1387"/>
      <c r="AI54" s="1387">
        <f>AI55</f>
        <v>2490.4528100000002</v>
      </c>
      <c r="AJ54" s="1386"/>
      <c r="AK54" s="1386"/>
    </row>
    <row r="55" spans="1:37" ht="36">
      <c r="A55" s="1443"/>
      <c r="B55" s="1444" t="s">
        <v>1227</v>
      </c>
      <c r="C55" s="1411"/>
      <c r="D55" s="1411"/>
      <c r="E55" s="1382">
        <f t="shared" ref="E55:U55" si="21">SUM(E56:E76)</f>
        <v>15300.68</v>
      </c>
      <c r="F55" s="1382"/>
      <c r="G55" s="1382"/>
      <c r="H55" s="1382">
        <f t="shared" si="21"/>
        <v>428.08</v>
      </c>
      <c r="I55" s="1382">
        <f t="shared" si="21"/>
        <v>14872.6</v>
      </c>
      <c r="J55" s="1382"/>
      <c r="K55" s="1382"/>
      <c r="L55" s="1382">
        <f t="shared" si="21"/>
        <v>11482.653241</v>
      </c>
      <c r="M55" s="1382"/>
      <c r="N55" s="1382"/>
      <c r="O55" s="1382">
        <f t="shared" si="21"/>
        <v>17.5</v>
      </c>
      <c r="P55" s="1382">
        <f t="shared" si="21"/>
        <v>11465.153241</v>
      </c>
      <c r="Q55" s="1382">
        <f t="shared" si="21"/>
        <v>15300.68</v>
      </c>
      <c r="R55" s="1382"/>
      <c r="S55" s="1382"/>
      <c r="T55" s="1382">
        <f t="shared" si="21"/>
        <v>428.08</v>
      </c>
      <c r="U55" s="1382">
        <f t="shared" si="21"/>
        <v>14872.6</v>
      </c>
      <c r="V55" s="1382">
        <f>SUM(V56:V76)</f>
        <v>3470.8776839999996</v>
      </c>
      <c r="W55" s="1382"/>
      <c r="X55" s="1382"/>
      <c r="Y55" s="1382"/>
      <c r="Z55" s="1382">
        <f t="shared" ref="Z55:AI55" si="22">SUM(Z56:Z76)</f>
        <v>348.08</v>
      </c>
      <c r="AA55" s="1382">
        <f t="shared" si="22"/>
        <v>3122.7976839999997</v>
      </c>
      <c r="AB55" s="1382"/>
      <c r="AC55" s="1382"/>
      <c r="AD55" s="1382">
        <f t="shared" si="22"/>
        <v>2815.049794</v>
      </c>
      <c r="AE55" s="1382"/>
      <c r="AF55" s="1382"/>
      <c r="AG55" s="1382">
        <f t="shared" si="22"/>
        <v>324.59698400000002</v>
      </c>
      <c r="AH55" s="1382"/>
      <c r="AI55" s="1382">
        <f t="shared" si="22"/>
        <v>2490.4528100000002</v>
      </c>
      <c r="AJ55" s="1409"/>
      <c r="AK55" s="1409"/>
    </row>
    <row r="56" spans="1:37" ht="60">
      <c r="A56" s="1405">
        <v>1</v>
      </c>
      <c r="B56" s="1445" t="s">
        <v>1253</v>
      </c>
      <c r="C56" s="1411"/>
      <c r="D56" s="1433" t="s">
        <v>1326</v>
      </c>
      <c r="E56" s="1381">
        <f t="shared" si="3"/>
        <v>1500</v>
      </c>
      <c r="F56" s="1409"/>
      <c r="G56" s="1409"/>
      <c r="H56" s="1409">
        <v>75</v>
      </c>
      <c r="I56" s="1409">
        <v>1425</v>
      </c>
      <c r="J56" s="1409"/>
      <c r="K56" s="1409"/>
      <c r="L56" s="1409">
        <f>M56+N56+O56+P56</f>
        <v>1200.105951</v>
      </c>
      <c r="M56" s="1409"/>
      <c r="N56" s="1409"/>
      <c r="O56" s="1409"/>
      <c r="P56" s="1409">
        <v>1200.105951</v>
      </c>
      <c r="Q56" s="1409">
        <f>R56+S56+T56+U56</f>
        <v>1500</v>
      </c>
      <c r="R56" s="1409"/>
      <c r="S56" s="1409"/>
      <c r="T56" s="1409">
        <v>75</v>
      </c>
      <c r="U56" s="1409">
        <v>1425</v>
      </c>
      <c r="V56" s="1382">
        <f t="shared" si="4"/>
        <v>299.894049</v>
      </c>
      <c r="W56" s="1412"/>
      <c r="X56" s="1409"/>
      <c r="Y56" s="1409"/>
      <c r="Z56" s="1412">
        <v>75</v>
      </c>
      <c r="AA56" s="1412">
        <v>224.894049</v>
      </c>
      <c r="AB56" s="1409"/>
      <c r="AC56" s="1409"/>
      <c r="AD56" s="1382">
        <f t="shared" si="5"/>
        <v>67.237348999999995</v>
      </c>
      <c r="AE56" s="1409"/>
      <c r="AF56" s="1409"/>
      <c r="AG56" s="1412">
        <v>67.237348999999995</v>
      </c>
      <c r="AH56" s="1409"/>
      <c r="AI56" s="1412">
        <v>0</v>
      </c>
      <c r="AJ56" s="1409"/>
      <c r="AK56" s="1409"/>
    </row>
    <row r="57" spans="1:37" ht="60">
      <c r="A57" s="1405">
        <f>+A56+1</f>
        <v>2</v>
      </c>
      <c r="B57" s="1445" t="s">
        <v>1254</v>
      </c>
      <c r="C57" s="1411"/>
      <c r="D57" s="1433" t="s">
        <v>1327</v>
      </c>
      <c r="E57" s="1381">
        <f t="shared" si="3"/>
        <v>361.59999999999997</v>
      </c>
      <c r="F57" s="1409"/>
      <c r="G57" s="1409"/>
      <c r="H57" s="1409">
        <v>18.079999999999998</v>
      </c>
      <c r="I57" s="1409">
        <v>343.52</v>
      </c>
      <c r="J57" s="1409"/>
      <c r="K57" s="1409"/>
      <c r="L57" s="1409">
        <f t="shared" ref="L57:L76" si="23">M57+N57+O57+P57</f>
        <v>329.27263699999997</v>
      </c>
      <c r="M57" s="1409"/>
      <c r="N57" s="1409"/>
      <c r="O57" s="1409"/>
      <c r="P57" s="1409">
        <v>329.27263699999997</v>
      </c>
      <c r="Q57" s="1409">
        <f t="shared" ref="Q57:Q76" si="24">R57+S57+T57+U57</f>
        <v>361.59999999999997</v>
      </c>
      <c r="R57" s="1409"/>
      <c r="S57" s="1409"/>
      <c r="T57" s="1409">
        <v>18.079999999999998</v>
      </c>
      <c r="U57" s="1409">
        <v>343.52</v>
      </c>
      <c r="V57" s="1382">
        <f t="shared" si="4"/>
        <v>32.327362999999998</v>
      </c>
      <c r="W57" s="1412"/>
      <c r="X57" s="1409"/>
      <c r="Y57" s="1409"/>
      <c r="Z57" s="1412">
        <v>18.079999999999998</v>
      </c>
      <c r="AA57" s="1412">
        <v>14.247363</v>
      </c>
      <c r="AB57" s="1409"/>
      <c r="AC57" s="1409"/>
      <c r="AD57" s="1382">
        <f t="shared" si="5"/>
        <v>20.395363</v>
      </c>
      <c r="AE57" s="1409"/>
      <c r="AF57" s="1409"/>
      <c r="AG57" s="1409">
        <v>18.079999999999998</v>
      </c>
      <c r="AH57" s="1409"/>
      <c r="AI57" s="1412">
        <v>2.3153630000000001</v>
      </c>
      <c r="AJ57" s="1409"/>
      <c r="AK57" s="1409"/>
    </row>
    <row r="58" spans="1:37" ht="60">
      <c r="A58" s="1405">
        <f t="shared" ref="A58:A60" si="25">+A57+1</f>
        <v>3</v>
      </c>
      <c r="B58" s="1445" t="s">
        <v>1255</v>
      </c>
      <c r="C58" s="1411"/>
      <c r="D58" s="1435" t="s">
        <v>1307</v>
      </c>
      <c r="E58" s="1381">
        <f t="shared" si="3"/>
        <v>2000</v>
      </c>
      <c r="F58" s="1409"/>
      <c r="G58" s="1409"/>
      <c r="H58" s="1409">
        <v>100</v>
      </c>
      <c r="I58" s="1409">
        <v>1900</v>
      </c>
      <c r="J58" s="1409"/>
      <c r="K58" s="1409"/>
      <c r="L58" s="1409">
        <f t="shared" si="23"/>
        <v>1819.1533649999999</v>
      </c>
      <c r="M58" s="1409"/>
      <c r="N58" s="1409"/>
      <c r="O58" s="1409"/>
      <c r="P58" s="1409">
        <v>1819.1533649999999</v>
      </c>
      <c r="Q58" s="1409">
        <f t="shared" si="24"/>
        <v>2000</v>
      </c>
      <c r="R58" s="1409"/>
      <c r="S58" s="1409"/>
      <c r="T58" s="1409">
        <v>100</v>
      </c>
      <c r="U58" s="1409">
        <v>1900</v>
      </c>
      <c r="V58" s="1382">
        <f t="shared" si="4"/>
        <v>180.84663499999999</v>
      </c>
      <c r="W58" s="1412"/>
      <c r="X58" s="1409"/>
      <c r="Y58" s="1409"/>
      <c r="Z58" s="1412">
        <v>100</v>
      </c>
      <c r="AA58" s="1412">
        <v>80.846635000000006</v>
      </c>
      <c r="AB58" s="1409"/>
      <c r="AC58" s="1409"/>
      <c r="AD58" s="1382">
        <f t="shared" si="5"/>
        <v>84.279634999999999</v>
      </c>
      <c r="AE58" s="1409"/>
      <c r="AF58" s="1409"/>
      <c r="AG58" s="1409">
        <v>84.279634999999999</v>
      </c>
      <c r="AH58" s="1409"/>
      <c r="AI58" s="1412">
        <v>0</v>
      </c>
      <c r="AJ58" s="1409"/>
      <c r="AK58" s="1409"/>
    </row>
    <row r="59" spans="1:37" ht="60">
      <c r="A59" s="1405">
        <f t="shared" si="25"/>
        <v>4</v>
      </c>
      <c r="B59" s="1445" t="s">
        <v>1256</v>
      </c>
      <c r="C59" s="1411"/>
      <c r="D59" s="1435" t="s">
        <v>1310</v>
      </c>
      <c r="E59" s="1381">
        <f t="shared" si="3"/>
        <v>300</v>
      </c>
      <c r="F59" s="1409"/>
      <c r="G59" s="1409"/>
      <c r="H59" s="1409">
        <v>15</v>
      </c>
      <c r="I59" s="1409">
        <v>285</v>
      </c>
      <c r="J59" s="1409"/>
      <c r="K59" s="1409"/>
      <c r="L59" s="1409">
        <f t="shared" si="23"/>
        <v>0</v>
      </c>
      <c r="M59" s="1409"/>
      <c r="N59" s="1409"/>
      <c r="O59" s="1409"/>
      <c r="P59" s="1409"/>
      <c r="Q59" s="1409">
        <f t="shared" si="24"/>
        <v>300</v>
      </c>
      <c r="R59" s="1409"/>
      <c r="S59" s="1409"/>
      <c r="T59" s="1409">
        <v>15</v>
      </c>
      <c r="U59" s="1409">
        <v>285</v>
      </c>
      <c r="V59" s="1382">
        <f t="shared" si="4"/>
        <v>15.354035</v>
      </c>
      <c r="W59" s="1412"/>
      <c r="X59" s="1409"/>
      <c r="Y59" s="1409"/>
      <c r="Z59" s="1412">
        <v>15</v>
      </c>
      <c r="AA59" s="1412">
        <v>0.35403499999999999</v>
      </c>
      <c r="AB59" s="1409"/>
      <c r="AC59" s="1409"/>
      <c r="AD59" s="1382">
        <f t="shared" si="5"/>
        <v>15.354035</v>
      </c>
      <c r="AE59" s="1409"/>
      <c r="AF59" s="1409"/>
      <c r="AG59" s="1409">
        <v>15</v>
      </c>
      <c r="AH59" s="1409"/>
      <c r="AI59" s="1412">
        <v>0.35403499999999999</v>
      </c>
      <c r="AJ59" s="1409"/>
      <c r="AK59" s="1409"/>
    </row>
    <row r="60" spans="1:37" ht="60">
      <c r="A60" s="1405">
        <f t="shared" si="25"/>
        <v>5</v>
      </c>
      <c r="B60" s="1445" t="s">
        <v>1257</v>
      </c>
      <c r="C60" s="1411"/>
      <c r="D60" s="1435" t="s">
        <v>1308</v>
      </c>
      <c r="E60" s="1381">
        <f t="shared" si="3"/>
        <v>800</v>
      </c>
      <c r="F60" s="1409"/>
      <c r="G60" s="1409"/>
      <c r="H60" s="1409"/>
      <c r="I60" s="1409">
        <v>800</v>
      </c>
      <c r="J60" s="1409"/>
      <c r="K60" s="1409"/>
      <c r="L60" s="1409">
        <f t="shared" si="23"/>
        <v>331.04926399999999</v>
      </c>
      <c r="M60" s="1409"/>
      <c r="N60" s="1409"/>
      <c r="O60" s="1409"/>
      <c r="P60" s="1409">
        <v>331.04926399999999</v>
      </c>
      <c r="Q60" s="1409">
        <f t="shared" si="24"/>
        <v>800</v>
      </c>
      <c r="R60" s="1409"/>
      <c r="S60" s="1409"/>
      <c r="T60" s="1409"/>
      <c r="U60" s="1409">
        <v>800</v>
      </c>
      <c r="V60" s="1382">
        <f t="shared" si="4"/>
        <v>468.95073600000001</v>
      </c>
      <c r="W60" s="1412"/>
      <c r="X60" s="1409"/>
      <c r="Y60" s="1409"/>
      <c r="Z60" s="1412">
        <v>0</v>
      </c>
      <c r="AA60" s="1412">
        <v>468.95073600000001</v>
      </c>
      <c r="AB60" s="1409"/>
      <c r="AC60" s="1409"/>
      <c r="AD60" s="1382">
        <f t="shared" si="5"/>
        <v>462.86733600000002</v>
      </c>
      <c r="AE60" s="1409"/>
      <c r="AF60" s="1409"/>
      <c r="AG60" s="1409">
        <v>0</v>
      </c>
      <c r="AH60" s="1409"/>
      <c r="AI60" s="1412">
        <v>462.86733600000002</v>
      </c>
      <c r="AJ60" s="1409"/>
      <c r="AK60" s="1409"/>
    </row>
    <row r="61" spans="1:37" ht="60">
      <c r="A61" s="1405">
        <f>+A60+1</f>
        <v>6</v>
      </c>
      <c r="B61" s="1445" t="s">
        <v>1258</v>
      </c>
      <c r="C61" s="1411"/>
      <c r="D61" s="1415" t="s">
        <v>1311</v>
      </c>
      <c r="E61" s="1381">
        <f t="shared" si="3"/>
        <v>600</v>
      </c>
      <c r="F61" s="1409"/>
      <c r="G61" s="1409"/>
      <c r="H61" s="1409"/>
      <c r="I61" s="1409">
        <v>600</v>
      </c>
      <c r="J61" s="1409"/>
      <c r="K61" s="1409"/>
      <c r="L61" s="1409">
        <f t="shared" si="23"/>
        <v>450.19663500000001</v>
      </c>
      <c r="M61" s="1409"/>
      <c r="N61" s="1409"/>
      <c r="O61" s="1409"/>
      <c r="P61" s="1409">
        <v>450.19663500000001</v>
      </c>
      <c r="Q61" s="1409">
        <f t="shared" si="24"/>
        <v>600</v>
      </c>
      <c r="R61" s="1409"/>
      <c r="S61" s="1409"/>
      <c r="T61" s="1409"/>
      <c r="U61" s="1409">
        <v>600</v>
      </c>
      <c r="V61" s="1382">
        <f t="shared" si="4"/>
        <v>149.80336500000001</v>
      </c>
      <c r="W61" s="1412"/>
      <c r="X61" s="1409"/>
      <c r="Y61" s="1409"/>
      <c r="Z61" s="1412">
        <v>0</v>
      </c>
      <c r="AA61" s="1412">
        <v>149.80336500000001</v>
      </c>
      <c r="AB61" s="1409"/>
      <c r="AC61" s="1409"/>
      <c r="AD61" s="1382">
        <f t="shared" si="5"/>
        <v>149.78366500000001</v>
      </c>
      <c r="AE61" s="1409"/>
      <c r="AF61" s="1409"/>
      <c r="AG61" s="1409">
        <v>0</v>
      </c>
      <c r="AH61" s="1409"/>
      <c r="AI61" s="1412">
        <v>149.78366500000001</v>
      </c>
      <c r="AJ61" s="1409"/>
      <c r="AK61" s="1409"/>
    </row>
    <row r="62" spans="1:37" ht="60">
      <c r="A62" s="1405">
        <f>+A61+1</f>
        <v>7</v>
      </c>
      <c r="B62" s="1445" t="s">
        <v>1259</v>
      </c>
      <c r="C62" s="1411"/>
      <c r="D62" s="1415" t="s">
        <v>1312</v>
      </c>
      <c r="E62" s="1381">
        <f t="shared" si="3"/>
        <v>200</v>
      </c>
      <c r="F62" s="1409"/>
      <c r="G62" s="1409"/>
      <c r="H62" s="1409"/>
      <c r="I62" s="1409">
        <v>200</v>
      </c>
      <c r="J62" s="1409"/>
      <c r="K62" s="1409"/>
      <c r="L62" s="1409">
        <f t="shared" si="23"/>
        <v>150.065</v>
      </c>
      <c r="M62" s="1409"/>
      <c r="N62" s="1409"/>
      <c r="O62" s="1409"/>
      <c r="P62" s="1409">
        <v>150.065</v>
      </c>
      <c r="Q62" s="1409">
        <f t="shared" si="24"/>
        <v>200</v>
      </c>
      <c r="R62" s="1409"/>
      <c r="S62" s="1409"/>
      <c r="T62" s="1409"/>
      <c r="U62" s="1409">
        <v>200</v>
      </c>
      <c r="V62" s="1382">
        <f t="shared" si="4"/>
        <v>49.935000000000002</v>
      </c>
      <c r="W62" s="1412"/>
      <c r="X62" s="1409"/>
      <c r="Y62" s="1409"/>
      <c r="Z62" s="1412">
        <v>0</v>
      </c>
      <c r="AA62" s="1412">
        <v>49.935000000000002</v>
      </c>
      <c r="AB62" s="1409"/>
      <c r="AC62" s="1409"/>
      <c r="AD62" s="1382">
        <f t="shared" si="5"/>
        <v>49.9283</v>
      </c>
      <c r="AE62" s="1409"/>
      <c r="AF62" s="1409"/>
      <c r="AG62" s="1409">
        <v>0</v>
      </c>
      <c r="AH62" s="1409"/>
      <c r="AI62" s="1412">
        <v>49.9283</v>
      </c>
      <c r="AJ62" s="1409"/>
      <c r="AK62" s="1409"/>
    </row>
    <row r="63" spans="1:37" ht="72">
      <c r="A63" s="1405">
        <f t="shared" ref="A63:A65" si="26">+A62+1</f>
        <v>8</v>
      </c>
      <c r="B63" s="1445" t="s">
        <v>1260</v>
      </c>
      <c r="C63" s="1411"/>
      <c r="D63" s="1433" t="s">
        <v>1313</v>
      </c>
      <c r="E63" s="1381">
        <f t="shared" si="3"/>
        <v>750</v>
      </c>
      <c r="F63" s="1409"/>
      <c r="G63" s="1409"/>
      <c r="H63" s="1409"/>
      <c r="I63" s="1409">
        <v>750</v>
      </c>
      <c r="J63" s="1409"/>
      <c r="K63" s="1409"/>
      <c r="L63" s="1409">
        <f t="shared" si="23"/>
        <v>562.74579300000005</v>
      </c>
      <c r="M63" s="1409"/>
      <c r="N63" s="1409"/>
      <c r="O63" s="1409"/>
      <c r="P63" s="1409">
        <v>562.74579300000005</v>
      </c>
      <c r="Q63" s="1409">
        <f t="shared" si="24"/>
        <v>750</v>
      </c>
      <c r="R63" s="1409"/>
      <c r="S63" s="1409"/>
      <c r="T63" s="1409"/>
      <c r="U63" s="1409">
        <v>750</v>
      </c>
      <c r="V63" s="1382">
        <f t="shared" si="4"/>
        <v>187.25420700000001</v>
      </c>
      <c r="W63" s="1412"/>
      <c r="X63" s="1409"/>
      <c r="Y63" s="1409"/>
      <c r="Z63" s="1412">
        <v>0</v>
      </c>
      <c r="AA63" s="1412">
        <v>187.25420700000001</v>
      </c>
      <c r="AB63" s="1409"/>
      <c r="AC63" s="1409"/>
      <c r="AD63" s="1382">
        <f t="shared" si="5"/>
        <v>187.22960699999999</v>
      </c>
      <c r="AE63" s="1409"/>
      <c r="AF63" s="1409"/>
      <c r="AG63" s="1409">
        <v>0</v>
      </c>
      <c r="AH63" s="1409"/>
      <c r="AI63" s="1412">
        <v>187.22960699999999</v>
      </c>
      <c r="AJ63" s="1409"/>
      <c r="AK63" s="1409"/>
    </row>
    <row r="64" spans="1:37" ht="48">
      <c r="A64" s="1405">
        <f t="shared" si="26"/>
        <v>9</v>
      </c>
      <c r="B64" s="1445" t="s">
        <v>1261</v>
      </c>
      <c r="C64" s="1411"/>
      <c r="D64" s="1433" t="s">
        <v>1314</v>
      </c>
      <c r="E64" s="1381">
        <f t="shared" si="3"/>
        <v>150</v>
      </c>
      <c r="F64" s="1409"/>
      <c r="G64" s="1409"/>
      <c r="H64" s="1409"/>
      <c r="I64" s="1409">
        <v>150</v>
      </c>
      <c r="J64" s="1409"/>
      <c r="K64" s="1409"/>
      <c r="L64" s="1409">
        <f t="shared" si="23"/>
        <v>0</v>
      </c>
      <c r="M64" s="1409"/>
      <c r="N64" s="1409"/>
      <c r="O64" s="1409"/>
      <c r="P64" s="1409"/>
      <c r="Q64" s="1409">
        <f t="shared" si="24"/>
        <v>150</v>
      </c>
      <c r="R64" s="1409"/>
      <c r="S64" s="1409"/>
      <c r="T64" s="1409"/>
      <c r="U64" s="1409">
        <v>150</v>
      </c>
      <c r="V64" s="1382">
        <f t="shared" si="4"/>
        <v>150</v>
      </c>
      <c r="W64" s="1412"/>
      <c r="X64" s="1409"/>
      <c r="Y64" s="1409"/>
      <c r="Z64" s="1412">
        <v>0</v>
      </c>
      <c r="AA64" s="1412">
        <v>150</v>
      </c>
      <c r="AB64" s="1409"/>
      <c r="AC64" s="1409"/>
      <c r="AD64" s="1382">
        <f t="shared" si="5"/>
        <v>149.99979999999999</v>
      </c>
      <c r="AE64" s="1409"/>
      <c r="AF64" s="1409"/>
      <c r="AG64" s="1409">
        <v>0</v>
      </c>
      <c r="AH64" s="1409"/>
      <c r="AI64" s="1412">
        <v>149.99979999999999</v>
      </c>
      <c r="AJ64" s="1409"/>
      <c r="AK64" s="1409"/>
    </row>
    <row r="65" spans="1:37" ht="72">
      <c r="A65" s="1405">
        <f t="shared" si="26"/>
        <v>10</v>
      </c>
      <c r="B65" s="1445" t="s">
        <v>1262</v>
      </c>
      <c r="C65" s="1380"/>
      <c r="D65" s="1433" t="s">
        <v>1315</v>
      </c>
      <c r="E65" s="1381">
        <f t="shared" si="3"/>
        <v>700</v>
      </c>
      <c r="F65" s="1409"/>
      <c r="G65" s="1409"/>
      <c r="H65" s="1409">
        <v>35</v>
      </c>
      <c r="I65" s="1409">
        <v>665</v>
      </c>
      <c r="J65" s="1409"/>
      <c r="K65" s="1409"/>
      <c r="L65" s="1409">
        <f t="shared" si="23"/>
        <v>525.22940800000003</v>
      </c>
      <c r="M65" s="1409"/>
      <c r="N65" s="1409"/>
      <c r="O65" s="1409"/>
      <c r="P65" s="1409">
        <v>525.22940800000003</v>
      </c>
      <c r="Q65" s="1409">
        <f t="shared" si="24"/>
        <v>700</v>
      </c>
      <c r="R65" s="1409"/>
      <c r="S65" s="1409"/>
      <c r="T65" s="1409">
        <v>35</v>
      </c>
      <c r="U65" s="1409">
        <v>665</v>
      </c>
      <c r="V65" s="1382">
        <f t="shared" si="4"/>
        <v>174.77059199999999</v>
      </c>
      <c r="W65" s="1409"/>
      <c r="X65" s="1409"/>
      <c r="Y65" s="1409"/>
      <c r="Z65" s="1409">
        <v>35</v>
      </c>
      <c r="AA65" s="1409">
        <v>139.77059199999999</v>
      </c>
      <c r="AB65" s="1409"/>
      <c r="AC65" s="1409"/>
      <c r="AD65" s="1382">
        <f t="shared" si="5"/>
        <v>174.747592</v>
      </c>
      <c r="AE65" s="1409"/>
      <c r="AF65" s="1409"/>
      <c r="AG65" s="1409">
        <v>35</v>
      </c>
      <c r="AH65" s="1409"/>
      <c r="AI65" s="1409">
        <v>139.747592</v>
      </c>
      <c r="AJ65" s="1409"/>
      <c r="AK65" s="1409"/>
    </row>
    <row r="66" spans="1:37" ht="48">
      <c r="A66" s="1405">
        <f>+A65+1</f>
        <v>11</v>
      </c>
      <c r="B66" s="1445" t="s">
        <v>1263</v>
      </c>
      <c r="C66" s="1380"/>
      <c r="D66" s="1433" t="s">
        <v>1316</v>
      </c>
      <c r="E66" s="1381">
        <f t="shared" si="3"/>
        <v>1540</v>
      </c>
      <c r="F66" s="1409"/>
      <c r="G66" s="1409"/>
      <c r="H66" s="1409"/>
      <c r="I66" s="1409">
        <v>1540</v>
      </c>
      <c r="J66" s="1409"/>
      <c r="K66" s="1409"/>
      <c r="L66" s="1409">
        <f t="shared" si="23"/>
        <v>1190.441325</v>
      </c>
      <c r="M66" s="1409"/>
      <c r="N66" s="1409"/>
      <c r="O66" s="1409"/>
      <c r="P66" s="1409">
        <v>1190.441325</v>
      </c>
      <c r="Q66" s="1409">
        <f t="shared" si="24"/>
        <v>1540</v>
      </c>
      <c r="R66" s="1409"/>
      <c r="S66" s="1409"/>
      <c r="T66" s="1409"/>
      <c r="U66" s="1409">
        <v>1540</v>
      </c>
      <c r="V66" s="1382">
        <f t="shared" si="4"/>
        <v>349.55867499999999</v>
      </c>
      <c r="W66" s="1409"/>
      <c r="X66" s="1409"/>
      <c r="Y66" s="1409"/>
      <c r="Z66" s="1409">
        <v>0</v>
      </c>
      <c r="AA66" s="1409">
        <v>349.55867499999999</v>
      </c>
      <c r="AB66" s="1409"/>
      <c r="AC66" s="1409"/>
      <c r="AD66" s="1382">
        <f t="shared" si="5"/>
        <v>341.207875</v>
      </c>
      <c r="AE66" s="1409"/>
      <c r="AF66" s="1409"/>
      <c r="AG66" s="1409">
        <v>0</v>
      </c>
      <c r="AH66" s="1409"/>
      <c r="AI66" s="1409">
        <v>341.207875</v>
      </c>
      <c r="AJ66" s="1409"/>
      <c r="AK66" s="1409"/>
    </row>
    <row r="67" spans="1:37" ht="48">
      <c r="A67" s="1405">
        <f>+A66+1</f>
        <v>12</v>
      </c>
      <c r="B67" s="1445" t="s">
        <v>1264</v>
      </c>
      <c r="C67" s="1380"/>
      <c r="D67" s="1433" t="s">
        <v>1317</v>
      </c>
      <c r="E67" s="1381">
        <f t="shared" si="3"/>
        <v>320</v>
      </c>
      <c r="F67" s="1409"/>
      <c r="G67" s="1409"/>
      <c r="H67" s="1409"/>
      <c r="I67" s="1409">
        <v>320</v>
      </c>
      <c r="J67" s="1409"/>
      <c r="K67" s="1409"/>
      <c r="L67" s="1409">
        <f t="shared" si="23"/>
        <v>0</v>
      </c>
      <c r="M67" s="1409"/>
      <c r="N67" s="1409"/>
      <c r="O67" s="1409"/>
      <c r="P67" s="1409"/>
      <c r="Q67" s="1409">
        <f t="shared" si="24"/>
        <v>320</v>
      </c>
      <c r="R67" s="1409"/>
      <c r="S67" s="1409"/>
      <c r="T67" s="1409"/>
      <c r="U67" s="1409">
        <v>320</v>
      </c>
      <c r="V67" s="1382">
        <f t="shared" si="4"/>
        <v>320</v>
      </c>
      <c r="W67" s="1409"/>
      <c r="X67" s="1409"/>
      <c r="Y67" s="1409"/>
      <c r="Z67" s="1409">
        <v>0</v>
      </c>
      <c r="AA67" s="1409">
        <v>320</v>
      </c>
      <c r="AB67" s="1409"/>
      <c r="AC67" s="1409"/>
      <c r="AD67" s="1382">
        <f t="shared" si="5"/>
        <v>297.71069999999997</v>
      </c>
      <c r="AE67" s="1409"/>
      <c r="AF67" s="1409"/>
      <c r="AG67" s="1409">
        <v>0</v>
      </c>
      <c r="AH67" s="1409"/>
      <c r="AI67" s="1409">
        <v>297.71069999999997</v>
      </c>
      <c r="AJ67" s="1409"/>
      <c r="AK67" s="1409"/>
    </row>
    <row r="68" spans="1:37" ht="48">
      <c r="A68" s="1405">
        <f t="shared" ref="A68:A73" si="27">+A67+1</f>
        <v>13</v>
      </c>
      <c r="B68" s="1445" t="s">
        <v>1265</v>
      </c>
      <c r="C68" s="1380"/>
      <c r="D68" s="1433" t="s">
        <v>1318</v>
      </c>
      <c r="E68" s="1381">
        <f t="shared" si="3"/>
        <v>300</v>
      </c>
      <c r="F68" s="1409"/>
      <c r="G68" s="1409"/>
      <c r="H68" s="1409"/>
      <c r="I68" s="1409">
        <v>300</v>
      </c>
      <c r="J68" s="1409"/>
      <c r="K68" s="1409"/>
      <c r="L68" s="1409">
        <f t="shared" si="23"/>
        <v>231.904</v>
      </c>
      <c r="M68" s="1409"/>
      <c r="N68" s="1409"/>
      <c r="O68" s="1409"/>
      <c r="P68" s="1409">
        <v>231.904</v>
      </c>
      <c r="Q68" s="1409">
        <f t="shared" si="24"/>
        <v>300</v>
      </c>
      <c r="R68" s="1409"/>
      <c r="S68" s="1409"/>
      <c r="T68" s="1409"/>
      <c r="U68" s="1409">
        <v>300</v>
      </c>
      <c r="V68" s="1382">
        <f t="shared" si="4"/>
        <v>68.096000000000004</v>
      </c>
      <c r="W68" s="1409"/>
      <c r="X68" s="1409"/>
      <c r="Y68" s="1409"/>
      <c r="Z68" s="1409">
        <v>0</v>
      </c>
      <c r="AA68" s="1409">
        <v>68.096000000000004</v>
      </c>
      <c r="AB68" s="1409"/>
      <c r="AC68" s="1409"/>
      <c r="AD68" s="1382">
        <f t="shared" si="5"/>
        <v>66.475099999999998</v>
      </c>
      <c r="AE68" s="1409"/>
      <c r="AF68" s="1409"/>
      <c r="AG68" s="1409">
        <v>0</v>
      </c>
      <c r="AH68" s="1409"/>
      <c r="AI68" s="1409">
        <v>66.475099999999998</v>
      </c>
      <c r="AJ68" s="1409"/>
      <c r="AK68" s="1409"/>
    </row>
    <row r="69" spans="1:37" ht="48">
      <c r="A69" s="1405">
        <f t="shared" si="27"/>
        <v>14</v>
      </c>
      <c r="B69" s="1445" t="s">
        <v>1266</v>
      </c>
      <c r="C69" s="1380"/>
      <c r="D69" s="1433" t="s">
        <v>1319</v>
      </c>
      <c r="E69" s="1381">
        <f t="shared" si="3"/>
        <v>250</v>
      </c>
      <c r="F69" s="1409"/>
      <c r="G69" s="1409"/>
      <c r="H69" s="1409">
        <v>12.5</v>
      </c>
      <c r="I69" s="1409">
        <v>237.5</v>
      </c>
      <c r="J69" s="1409"/>
      <c r="K69" s="1409"/>
      <c r="L69" s="1409">
        <f t="shared" si="23"/>
        <v>192.71700000000001</v>
      </c>
      <c r="M69" s="1409"/>
      <c r="N69" s="1409"/>
      <c r="O69" s="1409"/>
      <c r="P69" s="1409">
        <v>192.71700000000001</v>
      </c>
      <c r="Q69" s="1409">
        <f t="shared" si="24"/>
        <v>250</v>
      </c>
      <c r="R69" s="1409"/>
      <c r="S69" s="1409"/>
      <c r="T69" s="1409">
        <v>12.5</v>
      </c>
      <c r="U69" s="1409">
        <v>237.5</v>
      </c>
      <c r="V69" s="1382">
        <f t="shared" si="4"/>
        <v>57.283000000000001</v>
      </c>
      <c r="W69" s="1409"/>
      <c r="X69" s="1409"/>
      <c r="Y69" s="1409"/>
      <c r="Z69" s="1409">
        <v>12.5</v>
      </c>
      <c r="AA69" s="1409">
        <v>44.783000000000001</v>
      </c>
      <c r="AB69" s="1409"/>
      <c r="AC69" s="1409"/>
      <c r="AD69" s="1382">
        <f t="shared" si="5"/>
        <v>48.856099999999998</v>
      </c>
      <c r="AE69" s="1409"/>
      <c r="AF69" s="1409"/>
      <c r="AG69" s="1409">
        <v>12.5</v>
      </c>
      <c r="AH69" s="1409"/>
      <c r="AI69" s="1409">
        <v>36.356099999999998</v>
      </c>
      <c r="AJ69" s="1409"/>
      <c r="AK69" s="1409"/>
    </row>
    <row r="70" spans="1:37" ht="48">
      <c r="A70" s="1405">
        <f t="shared" si="27"/>
        <v>15</v>
      </c>
      <c r="B70" s="1445" t="s">
        <v>1267</v>
      </c>
      <c r="C70" s="1380"/>
      <c r="D70" s="1433" t="s">
        <v>1320</v>
      </c>
      <c r="E70" s="1381">
        <f t="shared" si="3"/>
        <v>250</v>
      </c>
      <c r="F70" s="1409"/>
      <c r="G70" s="1409"/>
      <c r="H70" s="1409">
        <v>12.5</v>
      </c>
      <c r="I70" s="1409">
        <v>237.5</v>
      </c>
      <c r="J70" s="1409"/>
      <c r="K70" s="1409"/>
      <c r="L70" s="1409">
        <f t="shared" si="23"/>
        <v>168.62700000000001</v>
      </c>
      <c r="M70" s="1409"/>
      <c r="N70" s="1409"/>
      <c r="O70" s="1409"/>
      <c r="P70" s="1409">
        <v>168.62700000000001</v>
      </c>
      <c r="Q70" s="1409">
        <f t="shared" si="24"/>
        <v>250</v>
      </c>
      <c r="R70" s="1409"/>
      <c r="S70" s="1409"/>
      <c r="T70" s="1409">
        <v>12.5</v>
      </c>
      <c r="U70" s="1409">
        <v>237.5</v>
      </c>
      <c r="V70" s="1382">
        <f t="shared" si="4"/>
        <v>81.373000000000005</v>
      </c>
      <c r="W70" s="1409"/>
      <c r="X70" s="1409"/>
      <c r="Y70" s="1409"/>
      <c r="Z70" s="1409">
        <v>12.5</v>
      </c>
      <c r="AA70" s="1409">
        <v>68.873000000000005</v>
      </c>
      <c r="AB70" s="1409"/>
      <c r="AC70" s="1409"/>
      <c r="AD70" s="1382">
        <f t="shared" si="5"/>
        <v>30.931999999999999</v>
      </c>
      <c r="AE70" s="1409"/>
      <c r="AF70" s="1409"/>
      <c r="AG70" s="1409">
        <v>12.5</v>
      </c>
      <c r="AH70" s="1409"/>
      <c r="AI70" s="1409">
        <v>18.431999999999999</v>
      </c>
      <c r="AJ70" s="1409"/>
      <c r="AK70" s="1409"/>
    </row>
    <row r="71" spans="1:37" ht="48">
      <c r="A71" s="1405">
        <f t="shared" si="27"/>
        <v>16</v>
      </c>
      <c r="B71" s="1445" t="s">
        <v>1268</v>
      </c>
      <c r="C71" s="1380"/>
      <c r="D71" s="1433" t="s">
        <v>1321</v>
      </c>
      <c r="E71" s="1381">
        <f t="shared" si="3"/>
        <v>250</v>
      </c>
      <c r="F71" s="1409"/>
      <c r="G71" s="1409"/>
      <c r="H71" s="1409">
        <v>12.5</v>
      </c>
      <c r="I71" s="1409">
        <v>237.5</v>
      </c>
      <c r="J71" s="1409"/>
      <c r="K71" s="1409"/>
      <c r="L71" s="1409">
        <f t="shared" si="23"/>
        <v>157.23341500000001</v>
      </c>
      <c r="M71" s="1409"/>
      <c r="N71" s="1409"/>
      <c r="O71" s="1409"/>
      <c r="P71" s="1409">
        <v>157.23341500000001</v>
      </c>
      <c r="Q71" s="1409">
        <f t="shared" si="24"/>
        <v>250</v>
      </c>
      <c r="R71" s="1409"/>
      <c r="S71" s="1409"/>
      <c r="T71" s="1409">
        <v>12.5</v>
      </c>
      <c r="U71" s="1409">
        <v>237.5</v>
      </c>
      <c r="V71" s="1382">
        <f t="shared" si="4"/>
        <v>80.266585000000006</v>
      </c>
      <c r="W71" s="1409"/>
      <c r="X71" s="1409"/>
      <c r="Y71" s="1409"/>
      <c r="Z71" s="1409">
        <v>0</v>
      </c>
      <c r="AA71" s="1409">
        <v>80.266585000000006</v>
      </c>
      <c r="AB71" s="1409"/>
      <c r="AC71" s="1409"/>
      <c r="AD71" s="1382">
        <f t="shared" si="5"/>
        <v>76.836785000000006</v>
      </c>
      <c r="AE71" s="1409"/>
      <c r="AF71" s="1409"/>
      <c r="AG71" s="1409">
        <v>0</v>
      </c>
      <c r="AH71" s="1409"/>
      <c r="AI71" s="1409">
        <v>76.836785000000006</v>
      </c>
      <c r="AJ71" s="1409"/>
      <c r="AK71" s="1409"/>
    </row>
    <row r="72" spans="1:37" ht="48">
      <c r="A72" s="1405">
        <f t="shared" si="27"/>
        <v>17</v>
      </c>
      <c r="B72" s="1445" t="s">
        <v>1269</v>
      </c>
      <c r="C72" s="1380"/>
      <c r="D72" s="1433" t="s">
        <v>1322</v>
      </c>
      <c r="E72" s="1381">
        <f t="shared" si="3"/>
        <v>1000</v>
      </c>
      <c r="F72" s="1409"/>
      <c r="G72" s="1409"/>
      <c r="H72" s="1409">
        <v>50</v>
      </c>
      <c r="I72" s="1409">
        <v>950</v>
      </c>
      <c r="J72" s="1409"/>
      <c r="K72" s="1409"/>
      <c r="L72" s="1409">
        <f t="shared" si="23"/>
        <v>628.93195500000002</v>
      </c>
      <c r="M72" s="1409"/>
      <c r="N72" s="1409"/>
      <c r="O72" s="1409"/>
      <c r="P72" s="1409">
        <v>628.93195500000002</v>
      </c>
      <c r="Q72" s="1409">
        <f t="shared" si="24"/>
        <v>1000</v>
      </c>
      <c r="R72" s="1409"/>
      <c r="S72" s="1409"/>
      <c r="T72" s="1409">
        <v>50</v>
      </c>
      <c r="U72" s="1409">
        <v>950</v>
      </c>
      <c r="V72" s="1382">
        <f t="shared" si="4"/>
        <v>321.06804499999998</v>
      </c>
      <c r="W72" s="1409"/>
      <c r="X72" s="1409"/>
      <c r="Y72" s="1409"/>
      <c r="Z72" s="1409">
        <v>0</v>
      </c>
      <c r="AA72" s="1409">
        <v>321.06804499999998</v>
      </c>
      <c r="AB72" s="1409"/>
      <c r="AC72" s="1409"/>
      <c r="AD72" s="1382">
        <f t="shared" si="5"/>
        <v>306.26984499999998</v>
      </c>
      <c r="AE72" s="1409"/>
      <c r="AF72" s="1409"/>
      <c r="AG72" s="1409">
        <v>0</v>
      </c>
      <c r="AH72" s="1409"/>
      <c r="AI72" s="1409">
        <v>306.26984499999998</v>
      </c>
      <c r="AJ72" s="1409"/>
      <c r="AK72" s="1409"/>
    </row>
    <row r="73" spans="1:37" ht="60">
      <c r="A73" s="1405">
        <f t="shared" si="27"/>
        <v>18</v>
      </c>
      <c r="B73" s="1445" t="s">
        <v>1270</v>
      </c>
      <c r="C73" s="1380"/>
      <c r="D73" s="1433" t="s">
        <v>1323</v>
      </c>
      <c r="E73" s="1381">
        <f t="shared" si="3"/>
        <v>1600</v>
      </c>
      <c r="F73" s="1409"/>
      <c r="G73" s="1409"/>
      <c r="H73" s="1409">
        <v>80</v>
      </c>
      <c r="I73" s="1409">
        <v>1520</v>
      </c>
      <c r="J73" s="1409"/>
      <c r="K73" s="1409"/>
      <c r="L73" s="1409">
        <f t="shared" si="23"/>
        <v>1391.9572049999999</v>
      </c>
      <c r="M73" s="1409"/>
      <c r="N73" s="1409"/>
      <c r="O73" s="1409"/>
      <c r="P73" s="1409">
        <v>1391.9572049999999</v>
      </c>
      <c r="Q73" s="1409">
        <f t="shared" si="24"/>
        <v>1600</v>
      </c>
      <c r="R73" s="1409"/>
      <c r="S73" s="1409"/>
      <c r="T73" s="1409">
        <v>80</v>
      </c>
      <c r="U73" s="1409">
        <v>1520</v>
      </c>
      <c r="V73" s="1382">
        <f t="shared" si="4"/>
        <v>208.04279500000001</v>
      </c>
      <c r="W73" s="1409"/>
      <c r="X73" s="1409"/>
      <c r="Y73" s="1409"/>
      <c r="Z73" s="1409">
        <v>80</v>
      </c>
      <c r="AA73" s="1409">
        <v>128.04279500000001</v>
      </c>
      <c r="AB73" s="1409"/>
      <c r="AC73" s="1409"/>
      <c r="AD73" s="1382">
        <f t="shared" si="5"/>
        <v>200.64969500000001</v>
      </c>
      <c r="AE73" s="1409"/>
      <c r="AF73" s="1409"/>
      <c r="AG73" s="1409">
        <v>80</v>
      </c>
      <c r="AH73" s="1409"/>
      <c r="AI73" s="1409">
        <v>120.64969499999999</v>
      </c>
      <c r="AJ73" s="1409"/>
      <c r="AK73" s="1409"/>
    </row>
    <row r="74" spans="1:37" ht="60">
      <c r="A74" s="1405">
        <f>+A73+1</f>
        <v>19</v>
      </c>
      <c r="B74" s="1445" t="s">
        <v>1271</v>
      </c>
      <c r="C74" s="1380"/>
      <c r="D74" s="1433" t="s">
        <v>1324</v>
      </c>
      <c r="E74" s="1381">
        <f t="shared" si="3"/>
        <v>700</v>
      </c>
      <c r="F74" s="1409"/>
      <c r="G74" s="1409"/>
      <c r="H74" s="1409"/>
      <c r="I74" s="1409">
        <v>700</v>
      </c>
      <c r="J74" s="1409"/>
      <c r="K74" s="1409"/>
      <c r="L74" s="1409">
        <f t="shared" si="23"/>
        <v>661.20975099999998</v>
      </c>
      <c r="M74" s="1409"/>
      <c r="N74" s="1409"/>
      <c r="O74" s="1409"/>
      <c r="P74" s="1409">
        <v>661.20975099999998</v>
      </c>
      <c r="Q74" s="1409">
        <f t="shared" si="24"/>
        <v>700</v>
      </c>
      <c r="R74" s="1409"/>
      <c r="S74" s="1409"/>
      <c r="T74" s="1409"/>
      <c r="U74" s="1409">
        <v>700</v>
      </c>
      <c r="V74" s="1382">
        <f t="shared" si="4"/>
        <v>38.790249000000003</v>
      </c>
      <c r="W74" s="1409"/>
      <c r="X74" s="1409"/>
      <c r="Y74" s="1409"/>
      <c r="Z74" s="1409">
        <v>0</v>
      </c>
      <c r="AA74" s="1409">
        <v>38.790249000000003</v>
      </c>
      <c r="AB74" s="1409"/>
      <c r="AC74" s="1409"/>
      <c r="AD74" s="1382">
        <f t="shared" si="5"/>
        <v>9.4918490000000002</v>
      </c>
      <c r="AE74" s="1409"/>
      <c r="AF74" s="1409"/>
      <c r="AG74" s="1409">
        <v>0</v>
      </c>
      <c r="AH74" s="1409"/>
      <c r="AI74" s="1409">
        <v>9.4918490000000002</v>
      </c>
      <c r="AJ74" s="1409"/>
      <c r="AK74" s="1409"/>
    </row>
    <row r="75" spans="1:37" ht="60">
      <c r="A75" s="1405">
        <f>+A74+1</f>
        <v>20</v>
      </c>
      <c r="B75" s="1445" t="s">
        <v>1272</v>
      </c>
      <c r="C75" s="1380"/>
      <c r="D75" s="1433" t="s">
        <v>1325</v>
      </c>
      <c r="E75" s="1381">
        <f t="shared" si="3"/>
        <v>1379.08</v>
      </c>
      <c r="F75" s="1409"/>
      <c r="G75" s="1409"/>
      <c r="H75" s="1409"/>
      <c r="I75" s="1409">
        <v>1379.08</v>
      </c>
      <c r="J75" s="1409"/>
      <c r="K75" s="1409"/>
      <c r="L75" s="1409">
        <f t="shared" si="23"/>
        <v>1328.432618</v>
      </c>
      <c r="M75" s="1409"/>
      <c r="N75" s="1409"/>
      <c r="O75" s="1409"/>
      <c r="P75" s="1409">
        <v>1328.432618</v>
      </c>
      <c r="Q75" s="1409">
        <f t="shared" si="24"/>
        <v>1379.08</v>
      </c>
      <c r="R75" s="1409"/>
      <c r="S75" s="1409"/>
      <c r="T75" s="1409"/>
      <c r="U75" s="1409">
        <v>1379.08</v>
      </c>
      <c r="V75" s="1382">
        <f t="shared" ref="V75:V86" si="28">W75+X75+Y75+Z75+AA75+AB75+AC75</f>
        <v>50.644272000000001</v>
      </c>
      <c r="W75" s="1409"/>
      <c r="X75" s="1409"/>
      <c r="Y75" s="1409"/>
      <c r="Z75" s="1409">
        <v>0</v>
      </c>
      <c r="AA75" s="1409">
        <v>50.644272000000001</v>
      </c>
      <c r="AB75" s="1409"/>
      <c r="AC75" s="1409"/>
      <c r="AD75" s="1382">
        <f t="shared" si="5"/>
        <v>32.593482000000002</v>
      </c>
      <c r="AE75" s="1409"/>
      <c r="AF75" s="1409"/>
      <c r="AG75" s="1409">
        <v>0</v>
      </c>
      <c r="AH75" s="1409"/>
      <c r="AI75" s="1409">
        <v>32.593482000000002</v>
      </c>
      <c r="AJ75" s="1409"/>
      <c r="AK75" s="1409"/>
    </row>
    <row r="76" spans="1:37" ht="60">
      <c r="A76" s="1405">
        <f>+A75+1</f>
        <v>21</v>
      </c>
      <c r="B76" s="1445" t="s">
        <v>1273</v>
      </c>
      <c r="C76" s="1380"/>
      <c r="D76" s="1434" t="s">
        <v>1309</v>
      </c>
      <c r="E76" s="1381">
        <f t="shared" si="3"/>
        <v>350</v>
      </c>
      <c r="F76" s="1409"/>
      <c r="G76" s="1409"/>
      <c r="H76" s="1409">
        <v>17.5</v>
      </c>
      <c r="I76" s="1409">
        <v>332.5</v>
      </c>
      <c r="J76" s="1409"/>
      <c r="K76" s="1409"/>
      <c r="L76" s="1409">
        <f t="shared" si="23"/>
        <v>163.38091900000001</v>
      </c>
      <c r="M76" s="1409"/>
      <c r="N76" s="1409"/>
      <c r="O76" s="1409">
        <v>17.5</v>
      </c>
      <c r="P76" s="1409">
        <v>145.88091900000001</v>
      </c>
      <c r="Q76" s="1409">
        <f t="shared" si="24"/>
        <v>350</v>
      </c>
      <c r="R76" s="1409"/>
      <c r="S76" s="1409"/>
      <c r="T76" s="1409">
        <v>17.5</v>
      </c>
      <c r="U76" s="1409">
        <v>332.5</v>
      </c>
      <c r="V76" s="1382">
        <f t="shared" si="28"/>
        <v>186.61908099999999</v>
      </c>
      <c r="W76" s="1409"/>
      <c r="X76" s="1409"/>
      <c r="Y76" s="1409"/>
      <c r="Z76" s="1409">
        <v>0</v>
      </c>
      <c r="AA76" s="1409">
        <v>186.61908099999999</v>
      </c>
      <c r="AB76" s="1409"/>
      <c r="AC76" s="1409"/>
      <c r="AD76" s="1382">
        <f t="shared" si="5"/>
        <v>42.203681000000003</v>
      </c>
      <c r="AE76" s="1409"/>
      <c r="AF76" s="1409"/>
      <c r="AG76" s="1409">
        <v>0</v>
      </c>
      <c r="AH76" s="1409"/>
      <c r="AI76" s="1409">
        <v>42.203681000000003</v>
      </c>
      <c r="AJ76" s="1409"/>
      <c r="AK76" s="1409"/>
    </row>
    <row r="77" spans="1:37" s="1304" customFormat="1" ht="48">
      <c r="A77" s="1454" t="s">
        <v>65</v>
      </c>
      <c r="B77" s="1455" t="s">
        <v>1274</v>
      </c>
      <c r="C77" s="1390"/>
      <c r="D77" s="1390"/>
      <c r="E77" s="1389">
        <f>E78</f>
        <v>250</v>
      </c>
      <c r="F77" s="1422"/>
      <c r="G77" s="1422">
        <f>G78</f>
        <v>250</v>
      </c>
      <c r="H77" s="1422"/>
      <c r="I77" s="1422"/>
      <c r="J77" s="1422"/>
      <c r="K77" s="1422"/>
      <c r="L77" s="1422">
        <f>L78</f>
        <v>211.49199999999999</v>
      </c>
      <c r="M77" s="1422"/>
      <c r="N77" s="1422">
        <f>N78</f>
        <v>211.49199999999999</v>
      </c>
      <c r="O77" s="1422"/>
      <c r="P77" s="1422"/>
      <c r="Q77" s="1422"/>
      <c r="R77" s="1422"/>
      <c r="S77" s="1422"/>
      <c r="T77" s="1422"/>
      <c r="U77" s="1422"/>
      <c r="V77" s="1391">
        <f>V78</f>
        <v>58.353999999999999</v>
      </c>
      <c r="W77" s="1422"/>
      <c r="X77" s="1422">
        <f>X78</f>
        <v>58.353999999999999</v>
      </c>
      <c r="Y77" s="1422"/>
      <c r="Z77" s="1422"/>
      <c r="AA77" s="1422"/>
      <c r="AB77" s="1422"/>
      <c r="AC77" s="1422"/>
      <c r="AD77" s="1391">
        <f>AD78</f>
        <v>19.846</v>
      </c>
      <c r="AE77" s="1422"/>
      <c r="AF77" s="1422">
        <f>AF78</f>
        <v>19.846</v>
      </c>
      <c r="AG77" s="1422"/>
      <c r="AH77" s="1422"/>
      <c r="AI77" s="1422"/>
      <c r="AJ77" s="1422"/>
      <c r="AK77" s="1422"/>
    </row>
    <row r="78" spans="1:37" ht="60">
      <c r="A78" s="1405">
        <v>1</v>
      </c>
      <c r="B78" s="1404" t="s">
        <v>1275</v>
      </c>
      <c r="C78" s="1380"/>
      <c r="D78" s="1456" t="s">
        <v>1335</v>
      </c>
      <c r="E78" s="1381">
        <f t="shared" ref="E78" si="29">F78+G78+H78+I78+J78+K78</f>
        <v>250</v>
      </c>
      <c r="F78" s="1409"/>
      <c r="G78" s="1409">
        <v>250</v>
      </c>
      <c r="H78" s="1409"/>
      <c r="I78" s="1409"/>
      <c r="J78" s="1409"/>
      <c r="K78" s="1409"/>
      <c r="L78" s="1409">
        <f>M78+N78+O78+P78</f>
        <v>211.49199999999999</v>
      </c>
      <c r="M78" s="1409"/>
      <c r="N78" s="1409">
        <v>211.49199999999999</v>
      </c>
      <c r="O78" s="1409"/>
      <c r="P78" s="1409"/>
      <c r="Q78" s="1409">
        <f>R78+S78+T78+U78</f>
        <v>191.64599999999999</v>
      </c>
      <c r="R78" s="1409"/>
      <c r="S78" s="1409">
        <v>191.64599999999999</v>
      </c>
      <c r="T78" s="1409"/>
      <c r="U78" s="1409"/>
      <c r="V78" s="1382">
        <f t="shared" si="28"/>
        <v>58.353999999999999</v>
      </c>
      <c r="W78" s="1409"/>
      <c r="X78" s="1409">
        <v>58.353999999999999</v>
      </c>
      <c r="Y78" s="1409"/>
      <c r="Z78" s="1409"/>
      <c r="AA78" s="1409"/>
      <c r="AB78" s="1409"/>
      <c r="AC78" s="1409"/>
      <c r="AD78" s="1382">
        <f t="shared" ref="AD78:AD86" si="30">AE78+AF78+AG78+AH78+AI78+AJ78+AK78</f>
        <v>19.846</v>
      </c>
      <c r="AE78" s="1409"/>
      <c r="AF78" s="1409">
        <v>19.846</v>
      </c>
      <c r="AG78" s="1409"/>
      <c r="AH78" s="1409"/>
      <c r="AI78" s="1409"/>
      <c r="AJ78" s="1409"/>
      <c r="AK78" s="1409"/>
    </row>
    <row r="79" spans="1:37" s="1304" customFormat="1" ht="24">
      <c r="A79" s="1413" t="s">
        <v>69</v>
      </c>
      <c r="B79" s="1414" t="s">
        <v>1276</v>
      </c>
      <c r="C79" s="1390"/>
      <c r="D79" s="1390"/>
      <c r="E79" s="1422">
        <f>E80+E81</f>
        <v>12872.723889000001</v>
      </c>
      <c r="F79" s="1422"/>
      <c r="G79" s="1422"/>
      <c r="H79" s="1422"/>
      <c r="I79" s="1422"/>
      <c r="J79" s="1422">
        <f>J80+J81</f>
        <v>12872.723889000001</v>
      </c>
      <c r="K79" s="1422"/>
      <c r="L79" s="1422">
        <f t="shared" ref="L79:M79" si="31">L80+L81</f>
        <v>12872.723889000001</v>
      </c>
      <c r="M79" s="1422">
        <f t="shared" si="31"/>
        <v>12872.723889000001</v>
      </c>
      <c r="N79" s="1422"/>
      <c r="O79" s="1422"/>
      <c r="P79" s="1422"/>
      <c r="Q79" s="1422"/>
      <c r="R79" s="1422"/>
      <c r="S79" s="1422"/>
      <c r="T79" s="1422"/>
      <c r="U79" s="1422"/>
      <c r="V79" s="1391">
        <f>V80+V81</f>
        <v>2127.7909789999999</v>
      </c>
      <c r="W79" s="1391"/>
      <c r="X79" s="1391"/>
      <c r="Y79" s="1391"/>
      <c r="Z79" s="1391"/>
      <c r="AA79" s="1391"/>
      <c r="AB79" s="1391"/>
      <c r="AC79" s="1391">
        <f t="shared" ref="AC79:AK79" si="32">AC80+AC81</f>
        <v>2127.7909789999999</v>
      </c>
      <c r="AD79" s="1391">
        <f t="shared" si="32"/>
        <v>2019.1471680000002</v>
      </c>
      <c r="AE79" s="1391"/>
      <c r="AF79" s="1391"/>
      <c r="AG79" s="1391"/>
      <c r="AH79" s="1391"/>
      <c r="AI79" s="1391"/>
      <c r="AJ79" s="1391"/>
      <c r="AK79" s="1391">
        <f t="shared" si="32"/>
        <v>2019.1471680000002</v>
      </c>
    </row>
    <row r="80" spans="1:37" ht="48">
      <c r="A80" s="1415">
        <v>1</v>
      </c>
      <c r="B80" s="1404" t="s">
        <v>1277</v>
      </c>
      <c r="C80" s="1380"/>
      <c r="D80" s="1458" t="s">
        <v>1336</v>
      </c>
      <c r="E80" s="1409">
        <f>F80+G80+H80+I80+J80+K80</f>
        <v>2891.3561890000001</v>
      </c>
      <c r="F80" s="1409"/>
      <c r="G80" s="1409"/>
      <c r="H80" s="1409"/>
      <c r="I80" s="1409"/>
      <c r="J80" s="1409">
        <v>2891.3561890000001</v>
      </c>
      <c r="K80" s="1409"/>
      <c r="L80" s="1409">
        <f t="shared" ref="L80:L81" si="33">M80+N80+O80+P80</f>
        <v>2891.3561890000001</v>
      </c>
      <c r="M80" s="1409">
        <v>2891.3561890000001</v>
      </c>
      <c r="N80" s="1409"/>
      <c r="O80" s="1409"/>
      <c r="P80" s="1409"/>
      <c r="Q80" s="1409">
        <f t="shared" ref="Q80:Q81" si="34">R80+S80+T80+U80</f>
        <v>1803.843421</v>
      </c>
      <c r="R80" s="1409">
        <v>1803.843421</v>
      </c>
      <c r="S80" s="1409"/>
      <c r="T80" s="1409"/>
      <c r="U80" s="1409"/>
      <c r="V80" s="1382">
        <f t="shared" si="28"/>
        <v>1891.856579</v>
      </c>
      <c r="W80" s="1409"/>
      <c r="X80" s="1409"/>
      <c r="Y80" s="1409"/>
      <c r="Z80" s="1409"/>
      <c r="AA80" s="1409"/>
      <c r="AB80" s="1409"/>
      <c r="AC80" s="1409">
        <f>1196.156579+695.7</f>
        <v>1891.856579</v>
      </c>
      <c r="AD80" s="1382">
        <f t="shared" si="30"/>
        <v>1783.2127680000001</v>
      </c>
      <c r="AE80" s="1409"/>
      <c r="AF80" s="1409"/>
      <c r="AG80" s="1409"/>
      <c r="AH80" s="1409"/>
      <c r="AI80" s="1409"/>
      <c r="AJ80" s="1409"/>
      <c r="AK80" s="1409">
        <f>1087.512768+695.7</f>
        <v>1783.2127680000001</v>
      </c>
    </row>
    <row r="81" spans="1:37" ht="36">
      <c r="A81" s="1415">
        <f>+A80+1</f>
        <v>2</v>
      </c>
      <c r="B81" s="1404" t="s">
        <v>1278</v>
      </c>
      <c r="C81" s="1380"/>
      <c r="D81" s="1380"/>
      <c r="E81" s="1409">
        <f>F81+G81+H81+I81+J81+K81</f>
        <v>9981.3677000000007</v>
      </c>
      <c r="F81" s="1409"/>
      <c r="G81" s="1409"/>
      <c r="H81" s="1409"/>
      <c r="I81" s="1409"/>
      <c r="J81" s="1409">
        <v>9981.3677000000007</v>
      </c>
      <c r="K81" s="1409"/>
      <c r="L81" s="1409">
        <f t="shared" si="33"/>
        <v>9981.3677000000007</v>
      </c>
      <c r="M81" s="1409">
        <v>9981.3677000000007</v>
      </c>
      <c r="N81" s="1409"/>
      <c r="O81" s="1409"/>
      <c r="P81" s="1409"/>
      <c r="Q81" s="1409">
        <f t="shared" si="34"/>
        <v>9745.4333000000006</v>
      </c>
      <c r="R81" s="1409">
        <v>9745.4333000000006</v>
      </c>
      <c r="S81" s="1409"/>
      <c r="T81" s="1409"/>
      <c r="U81" s="1409"/>
      <c r="V81" s="1382">
        <f t="shared" si="28"/>
        <v>235.93440000000001</v>
      </c>
      <c r="W81" s="1409"/>
      <c r="X81" s="1409"/>
      <c r="Y81" s="1409"/>
      <c r="Z81" s="1409"/>
      <c r="AA81" s="1409"/>
      <c r="AB81" s="1409"/>
      <c r="AC81" s="1409">
        <v>235.93440000000001</v>
      </c>
      <c r="AD81" s="1382">
        <f t="shared" si="30"/>
        <v>235.93440000000001</v>
      </c>
      <c r="AE81" s="1409"/>
      <c r="AF81" s="1409"/>
      <c r="AG81" s="1409"/>
      <c r="AH81" s="1409"/>
      <c r="AI81" s="1409"/>
      <c r="AJ81" s="1409"/>
      <c r="AK81" s="1409">
        <v>235.93440000000001</v>
      </c>
    </row>
    <row r="82" spans="1:37" s="1304" customFormat="1" ht="24">
      <c r="A82" s="1413" t="s">
        <v>317</v>
      </c>
      <c r="B82" s="1414" t="s">
        <v>1279</v>
      </c>
      <c r="C82" s="1390"/>
      <c r="D82" s="1390"/>
      <c r="E82" s="1422">
        <f t="shared" ref="E82" si="35">E83+E84+E85+E86</f>
        <v>698.37599599999999</v>
      </c>
      <c r="F82" s="1422"/>
      <c r="G82" s="1422"/>
      <c r="H82" s="1422"/>
      <c r="I82" s="1422"/>
      <c r="J82" s="1422">
        <f>J83+J84+J85+J86</f>
        <v>698.37599599999999</v>
      </c>
      <c r="K82" s="1422"/>
      <c r="L82" s="1422"/>
      <c r="M82" s="1422"/>
      <c r="N82" s="1422"/>
      <c r="O82" s="1422"/>
      <c r="P82" s="1422"/>
      <c r="Q82" s="1422"/>
      <c r="R82" s="1422"/>
      <c r="S82" s="1422"/>
      <c r="T82" s="1422"/>
      <c r="U82" s="1422"/>
      <c r="V82" s="1391">
        <f>V83+V84+V85+V86</f>
        <v>698.37599599999999</v>
      </c>
      <c r="W82" s="1391"/>
      <c r="X82" s="1391"/>
      <c r="Y82" s="1391"/>
      <c r="Z82" s="1391"/>
      <c r="AA82" s="1391"/>
      <c r="AB82" s="1391"/>
      <c r="AC82" s="1391">
        <f t="shared" ref="AC82:AK82" si="36">AC83+AC84+AC85+AC86</f>
        <v>698.37599599999999</v>
      </c>
      <c r="AD82" s="1391">
        <f t="shared" si="36"/>
        <v>690.80687899999998</v>
      </c>
      <c r="AE82" s="1391"/>
      <c r="AF82" s="1391"/>
      <c r="AG82" s="1391"/>
      <c r="AH82" s="1391"/>
      <c r="AI82" s="1391"/>
      <c r="AJ82" s="1391"/>
      <c r="AK82" s="1391">
        <f t="shared" si="36"/>
        <v>690.80687899999998</v>
      </c>
    </row>
    <row r="83" spans="1:37" ht="60">
      <c r="A83" s="1416">
        <v>1</v>
      </c>
      <c r="B83" s="1417" t="s">
        <v>1280</v>
      </c>
      <c r="C83" s="1380"/>
      <c r="D83" s="1458" t="s">
        <v>1337</v>
      </c>
      <c r="E83" s="1409">
        <f>F83+G83+I83+J83+K83</f>
        <v>192.06091799999999</v>
      </c>
      <c r="F83" s="1409"/>
      <c r="G83" s="1409"/>
      <c r="H83" s="1409"/>
      <c r="I83" s="1409"/>
      <c r="J83" s="1409">
        <v>192.06091799999999</v>
      </c>
      <c r="K83" s="1409"/>
      <c r="L83" s="1409"/>
      <c r="M83" s="1409"/>
      <c r="N83" s="1409"/>
      <c r="O83" s="1409"/>
      <c r="P83" s="1409"/>
      <c r="Q83" s="1409"/>
      <c r="R83" s="1409"/>
      <c r="S83" s="1409"/>
      <c r="T83" s="1409"/>
      <c r="U83" s="1409"/>
      <c r="V83" s="1382">
        <f t="shared" si="28"/>
        <v>192.06091799999999</v>
      </c>
      <c r="W83" s="1409"/>
      <c r="X83" s="1409"/>
      <c r="Y83" s="1409"/>
      <c r="Z83" s="1409"/>
      <c r="AA83" s="1409"/>
      <c r="AB83" s="1409"/>
      <c r="AC83" s="1409">
        <v>192.06091799999999</v>
      </c>
      <c r="AD83" s="1382">
        <f t="shared" si="30"/>
        <v>189.35908499999999</v>
      </c>
      <c r="AE83" s="1409"/>
      <c r="AF83" s="1409"/>
      <c r="AG83" s="1409"/>
      <c r="AH83" s="1409"/>
      <c r="AI83" s="1409"/>
      <c r="AJ83" s="1409"/>
      <c r="AK83" s="1409">
        <v>189.35908499999999</v>
      </c>
    </row>
    <row r="84" spans="1:37" ht="60">
      <c r="A84" s="1416">
        <f>+A83+1</f>
        <v>2</v>
      </c>
      <c r="B84" s="1418" t="s">
        <v>1281</v>
      </c>
      <c r="C84" s="1380"/>
      <c r="D84" s="1458" t="s">
        <v>1338</v>
      </c>
      <c r="E84" s="1409">
        <f t="shared" ref="E84:E86" si="37">F84+G84+I84+J84+K84</f>
        <v>153.94699399999999</v>
      </c>
      <c r="F84" s="1409"/>
      <c r="G84" s="1409"/>
      <c r="H84" s="1409"/>
      <c r="I84" s="1409"/>
      <c r="J84" s="1409">
        <v>153.94699399999999</v>
      </c>
      <c r="K84" s="1409"/>
      <c r="L84" s="1409"/>
      <c r="M84" s="1409"/>
      <c r="N84" s="1409"/>
      <c r="O84" s="1409"/>
      <c r="P84" s="1409"/>
      <c r="Q84" s="1409"/>
      <c r="R84" s="1409"/>
      <c r="S84" s="1409"/>
      <c r="T84" s="1409"/>
      <c r="U84" s="1409"/>
      <c r="V84" s="1382">
        <f t="shared" si="28"/>
        <v>153.94699399999999</v>
      </c>
      <c r="W84" s="1409"/>
      <c r="X84" s="1409"/>
      <c r="Y84" s="1409"/>
      <c r="Z84" s="1409"/>
      <c r="AA84" s="1409"/>
      <c r="AB84" s="1409"/>
      <c r="AC84" s="1409">
        <v>153.94699399999999</v>
      </c>
      <c r="AD84" s="1382">
        <f t="shared" si="30"/>
        <v>153.94699399999999</v>
      </c>
      <c r="AE84" s="1409"/>
      <c r="AF84" s="1409"/>
      <c r="AG84" s="1409"/>
      <c r="AH84" s="1409"/>
      <c r="AI84" s="1409"/>
      <c r="AJ84" s="1409"/>
      <c r="AK84" s="1409">
        <v>153.94699399999999</v>
      </c>
    </row>
    <row r="85" spans="1:37" ht="60">
      <c r="A85" s="1416">
        <f>+A84+1</f>
        <v>3</v>
      </c>
      <c r="B85" s="1418" t="s">
        <v>1282</v>
      </c>
      <c r="C85" s="1380"/>
      <c r="D85" s="1458" t="s">
        <v>1339</v>
      </c>
      <c r="E85" s="1409">
        <f t="shared" si="37"/>
        <v>180.98756599999999</v>
      </c>
      <c r="F85" s="1409"/>
      <c r="G85" s="1409"/>
      <c r="H85" s="1409"/>
      <c r="I85" s="1409"/>
      <c r="J85" s="1409">
        <v>180.98756599999999</v>
      </c>
      <c r="K85" s="1409"/>
      <c r="L85" s="1409"/>
      <c r="M85" s="1409"/>
      <c r="N85" s="1409"/>
      <c r="O85" s="1409"/>
      <c r="P85" s="1409"/>
      <c r="Q85" s="1409"/>
      <c r="R85" s="1409"/>
      <c r="S85" s="1409"/>
      <c r="T85" s="1409"/>
      <c r="U85" s="1409"/>
      <c r="V85" s="1382">
        <f t="shared" si="28"/>
        <v>180.98756599999999</v>
      </c>
      <c r="W85" s="1409"/>
      <c r="X85" s="1409"/>
      <c r="Y85" s="1409"/>
      <c r="Z85" s="1409"/>
      <c r="AA85" s="1409"/>
      <c r="AB85" s="1409"/>
      <c r="AC85" s="1409">
        <v>180.98756599999999</v>
      </c>
      <c r="AD85" s="1382">
        <f t="shared" si="30"/>
        <v>179.95070000000001</v>
      </c>
      <c r="AE85" s="1409"/>
      <c r="AF85" s="1409"/>
      <c r="AG85" s="1409"/>
      <c r="AH85" s="1409"/>
      <c r="AI85" s="1409"/>
      <c r="AJ85" s="1409"/>
      <c r="AK85" s="1409">
        <v>179.95070000000001</v>
      </c>
    </row>
    <row r="86" spans="1:37" ht="60">
      <c r="A86" s="1416">
        <f>+A85+1</f>
        <v>4</v>
      </c>
      <c r="B86" s="1419" t="s">
        <v>1283</v>
      </c>
      <c r="C86" s="1380"/>
      <c r="D86" s="1458" t="s">
        <v>1340</v>
      </c>
      <c r="E86" s="1409">
        <f t="shared" si="37"/>
        <v>171.380518</v>
      </c>
      <c r="F86" s="1409"/>
      <c r="G86" s="1409"/>
      <c r="H86" s="1409"/>
      <c r="I86" s="1409"/>
      <c r="J86" s="1409">
        <v>171.380518</v>
      </c>
      <c r="K86" s="1409"/>
      <c r="L86" s="1409"/>
      <c r="M86" s="1409"/>
      <c r="N86" s="1409"/>
      <c r="O86" s="1409"/>
      <c r="P86" s="1409"/>
      <c r="Q86" s="1409"/>
      <c r="R86" s="1409"/>
      <c r="S86" s="1409"/>
      <c r="T86" s="1409"/>
      <c r="U86" s="1409"/>
      <c r="V86" s="1382">
        <f t="shared" si="28"/>
        <v>171.380518</v>
      </c>
      <c r="W86" s="1409"/>
      <c r="X86" s="1409"/>
      <c r="Y86" s="1409"/>
      <c r="Z86" s="1409"/>
      <c r="AA86" s="1409"/>
      <c r="AB86" s="1409"/>
      <c r="AC86" s="1409">
        <v>171.380518</v>
      </c>
      <c r="AD86" s="1382">
        <f t="shared" si="30"/>
        <v>167.55009999999999</v>
      </c>
      <c r="AE86" s="1409"/>
      <c r="AF86" s="1409"/>
      <c r="AG86" s="1409"/>
      <c r="AH86" s="1409"/>
      <c r="AI86" s="1409"/>
      <c r="AJ86" s="1409"/>
      <c r="AK86" s="1409">
        <v>167.55009999999999</v>
      </c>
    </row>
    <row r="87" spans="1:37">
      <c r="A87" s="1307"/>
      <c r="C87" s="1307"/>
      <c r="D87" s="1307"/>
      <c r="V87" s="1392"/>
      <c r="W87" s="1307"/>
      <c r="Z87" s="1307"/>
      <c r="AA87" s="1307"/>
      <c r="AD87" s="1392"/>
      <c r="AE87" s="1421"/>
      <c r="AI87" s="1307"/>
    </row>
    <row r="88" spans="1:37">
      <c r="A88" s="1307"/>
      <c r="C88" s="1307"/>
      <c r="D88" s="1307"/>
      <c r="V88" s="1392"/>
      <c r="W88" s="1307"/>
      <c r="Z88" s="1307"/>
      <c r="AA88" s="1307"/>
      <c r="AD88" s="1392"/>
      <c r="AE88" s="1421"/>
      <c r="AI88" s="1307"/>
    </row>
    <row r="89" spans="1:37">
      <c r="A89" s="1307"/>
      <c r="C89" s="1307"/>
      <c r="D89" s="1307"/>
      <c r="W89" s="1307"/>
      <c r="Z89" s="1307"/>
      <c r="AA89" s="1307"/>
      <c r="AD89" s="1392"/>
      <c r="AE89" s="1421"/>
      <c r="AI89" s="1307"/>
    </row>
    <row r="90" spans="1:37">
      <c r="A90" s="1307"/>
      <c r="C90" s="1307"/>
      <c r="D90" s="1307"/>
      <c r="W90" s="1307"/>
      <c r="Z90" s="1307"/>
      <c r="AA90" s="1307"/>
      <c r="AD90" s="1392"/>
      <c r="AE90" s="1421"/>
      <c r="AI90" s="1307"/>
    </row>
    <row r="91" spans="1:37">
      <c r="A91" s="1307"/>
      <c r="C91" s="1307"/>
      <c r="D91" s="1307"/>
      <c r="W91" s="1307"/>
      <c r="Z91" s="1307"/>
      <c r="AA91" s="1307"/>
      <c r="AD91" s="1392"/>
      <c r="AE91" s="1421"/>
      <c r="AI91" s="1307"/>
    </row>
    <row r="92" spans="1:37">
      <c r="A92" s="1307"/>
      <c r="C92" s="1307"/>
      <c r="D92" s="1307"/>
      <c r="W92" s="1307"/>
      <c r="Z92" s="1307"/>
      <c r="AA92" s="1307"/>
      <c r="AD92" s="1392"/>
      <c r="AE92" s="1421"/>
      <c r="AI92" s="1307"/>
    </row>
    <row r="93" spans="1:37">
      <c r="A93" s="1307"/>
      <c r="C93" s="1307"/>
      <c r="D93" s="1307"/>
      <c r="W93" s="1307"/>
      <c r="Z93" s="1307"/>
      <c r="AA93" s="1307"/>
      <c r="AD93" s="1392"/>
      <c r="AE93" s="1421"/>
      <c r="AI93" s="1307"/>
    </row>
    <row r="94" spans="1:37">
      <c r="A94" s="1307"/>
      <c r="C94" s="1307"/>
      <c r="D94" s="1307"/>
      <c r="W94" s="1307"/>
      <c r="Z94" s="1307"/>
      <c r="AA94" s="1307"/>
      <c r="AD94" s="1392"/>
      <c r="AE94" s="1421"/>
      <c r="AI94" s="1307"/>
    </row>
    <row r="95" spans="1:37">
      <c r="A95" s="1307"/>
      <c r="C95" s="1307"/>
      <c r="D95" s="1307"/>
      <c r="W95" s="1307"/>
      <c r="Z95" s="1307"/>
      <c r="AA95" s="1307"/>
      <c r="AD95" s="1392"/>
      <c r="AE95" s="1421"/>
      <c r="AI95" s="1307"/>
    </row>
    <row r="96" spans="1:37">
      <c r="A96" s="1307"/>
      <c r="C96" s="1307"/>
      <c r="D96" s="1307"/>
      <c r="W96" s="1307"/>
      <c r="Z96" s="1307"/>
      <c r="AA96" s="1307"/>
      <c r="AD96" s="1392"/>
      <c r="AE96" s="1421"/>
      <c r="AI96" s="1307"/>
    </row>
    <row r="97" spans="1:35">
      <c r="A97" s="1307"/>
      <c r="C97" s="1307"/>
      <c r="D97" s="1307"/>
      <c r="W97" s="1307"/>
      <c r="Z97" s="1307"/>
      <c r="AA97" s="1307"/>
      <c r="AD97" s="1392"/>
      <c r="AE97" s="1421"/>
      <c r="AI97" s="1307"/>
    </row>
    <row r="98" spans="1:35">
      <c r="A98" s="1307"/>
      <c r="C98" s="1307"/>
      <c r="D98" s="1307"/>
      <c r="W98" s="1307"/>
      <c r="Z98" s="1307"/>
      <c r="AA98" s="1307"/>
      <c r="AD98" s="1392"/>
      <c r="AE98" s="1421"/>
      <c r="AI98" s="1307"/>
    </row>
    <row r="99" spans="1:35">
      <c r="A99" s="1307"/>
      <c r="C99" s="1307"/>
      <c r="D99" s="1307"/>
      <c r="W99" s="1307"/>
      <c r="Z99" s="1307"/>
      <c r="AA99" s="1307"/>
      <c r="AD99" s="1392"/>
      <c r="AE99" s="1421"/>
      <c r="AI99" s="1307"/>
    </row>
    <row r="100" spans="1:35">
      <c r="A100" s="1307"/>
      <c r="C100" s="1307"/>
      <c r="D100" s="1307"/>
      <c r="W100" s="1307"/>
      <c r="Z100" s="1307"/>
      <c r="AA100" s="1307"/>
      <c r="AD100" s="1392"/>
      <c r="AE100" s="1421"/>
      <c r="AI100" s="1307"/>
    </row>
    <row r="101" spans="1:35">
      <c r="A101" s="1307"/>
      <c r="C101" s="1307"/>
      <c r="D101" s="1307"/>
      <c r="W101" s="1307"/>
      <c r="Z101" s="1307"/>
      <c r="AA101" s="1307"/>
      <c r="AD101" s="1392"/>
      <c r="AE101" s="1421"/>
      <c r="AI101" s="1307"/>
    </row>
    <row r="102" spans="1:35">
      <c r="A102" s="1307"/>
      <c r="C102" s="1307"/>
      <c r="D102" s="1307"/>
      <c r="W102" s="1307"/>
      <c r="Z102" s="1307"/>
      <c r="AA102" s="1307"/>
      <c r="AD102" s="1392"/>
      <c r="AE102" s="1421"/>
      <c r="AI102" s="1307"/>
    </row>
    <row r="103" spans="1:35">
      <c r="A103" s="1307"/>
      <c r="C103" s="1307"/>
      <c r="D103" s="1307"/>
      <c r="W103" s="1307"/>
      <c r="Z103" s="1307"/>
      <c r="AA103" s="1307"/>
      <c r="AD103" s="1392"/>
      <c r="AE103" s="1421"/>
      <c r="AI103" s="1307"/>
    </row>
    <row r="104" spans="1:35">
      <c r="A104" s="1307"/>
      <c r="C104" s="1307"/>
      <c r="D104" s="1307"/>
      <c r="W104" s="1307"/>
      <c r="Z104" s="1307"/>
      <c r="AA104" s="1307"/>
      <c r="AD104" s="1392"/>
      <c r="AE104" s="1421"/>
      <c r="AI104" s="1307"/>
    </row>
    <row r="105" spans="1:35">
      <c r="A105" s="1307"/>
      <c r="C105" s="1307"/>
      <c r="D105" s="1307"/>
      <c r="W105" s="1307"/>
      <c r="Z105" s="1307"/>
      <c r="AA105" s="1307"/>
      <c r="AD105" s="1392"/>
      <c r="AE105" s="1421"/>
      <c r="AI105" s="1307"/>
    </row>
    <row r="106" spans="1:35">
      <c r="A106" s="1307"/>
      <c r="C106" s="1307"/>
      <c r="D106" s="1307"/>
      <c r="W106" s="1307"/>
      <c r="Z106" s="1307"/>
      <c r="AA106" s="1307"/>
      <c r="AD106" s="1392"/>
      <c r="AE106" s="1421"/>
      <c r="AI106" s="1307"/>
    </row>
    <row r="107" spans="1:35">
      <c r="A107" s="1307"/>
      <c r="C107" s="1307"/>
      <c r="D107" s="1307"/>
      <c r="W107" s="1307"/>
      <c r="Z107" s="1307"/>
      <c r="AA107" s="1307"/>
      <c r="AD107" s="1392"/>
      <c r="AE107" s="1421"/>
      <c r="AI107" s="1307"/>
    </row>
    <row r="108" spans="1:35">
      <c r="A108" s="1307"/>
      <c r="C108" s="1307"/>
      <c r="D108" s="1307"/>
      <c r="W108" s="1307"/>
      <c r="Z108" s="1307"/>
      <c r="AA108" s="1307"/>
      <c r="AD108" s="1392"/>
      <c r="AE108" s="1421"/>
      <c r="AI108" s="1307"/>
    </row>
    <row r="109" spans="1:35">
      <c r="A109" s="1307"/>
      <c r="C109" s="1307"/>
      <c r="D109" s="1307"/>
      <c r="W109" s="1307"/>
      <c r="Z109" s="1307"/>
      <c r="AA109" s="1307"/>
      <c r="AD109" s="1392"/>
      <c r="AE109" s="1421"/>
      <c r="AI109" s="1307"/>
    </row>
    <row r="110" spans="1:35">
      <c r="A110" s="1307"/>
      <c r="C110" s="1307"/>
      <c r="D110" s="1307"/>
      <c r="W110" s="1307"/>
      <c r="Z110" s="1307"/>
      <c r="AA110" s="1307"/>
      <c r="AD110" s="1392"/>
      <c r="AE110" s="1421"/>
      <c r="AI110" s="1307"/>
    </row>
    <row r="111" spans="1:35">
      <c r="A111" s="1307"/>
      <c r="C111" s="1307"/>
      <c r="D111" s="1307"/>
      <c r="W111" s="1307"/>
      <c r="Z111" s="1307"/>
      <c r="AA111" s="1307"/>
      <c r="AD111" s="1392"/>
      <c r="AE111" s="1421"/>
      <c r="AI111" s="1307"/>
    </row>
    <row r="112" spans="1:35">
      <c r="A112" s="1307"/>
      <c r="C112" s="1307"/>
      <c r="D112" s="1307"/>
      <c r="W112" s="1307"/>
      <c r="Z112" s="1307"/>
      <c r="AA112" s="1307"/>
      <c r="AD112" s="1392"/>
      <c r="AE112" s="1421"/>
      <c r="AI112" s="1307"/>
    </row>
    <row r="113" spans="1:35">
      <c r="A113" s="1307"/>
      <c r="C113" s="1307"/>
      <c r="D113" s="1307"/>
      <c r="W113" s="1307"/>
      <c r="Z113" s="1307"/>
      <c r="AA113" s="1307"/>
      <c r="AD113" s="1392"/>
      <c r="AE113" s="1421"/>
      <c r="AI113" s="1307"/>
    </row>
    <row r="114" spans="1:35">
      <c r="A114" s="1307"/>
      <c r="C114" s="1307"/>
      <c r="D114" s="1307"/>
      <c r="W114" s="1307"/>
      <c r="Z114" s="1307"/>
      <c r="AA114" s="1307"/>
      <c r="AD114" s="1392"/>
      <c r="AE114" s="1421"/>
      <c r="AI114" s="1307"/>
    </row>
    <row r="115" spans="1:35">
      <c r="A115" s="1307"/>
      <c r="C115" s="1307"/>
      <c r="D115" s="1307"/>
      <c r="W115" s="1307"/>
      <c r="Z115" s="1307"/>
      <c r="AA115" s="1307"/>
      <c r="AD115" s="1392"/>
      <c r="AE115" s="1421"/>
      <c r="AI115" s="1307"/>
    </row>
    <row r="116" spans="1:35">
      <c r="A116" s="1307"/>
      <c r="C116" s="1307"/>
      <c r="D116" s="1307"/>
      <c r="W116" s="1307"/>
      <c r="Z116" s="1307"/>
      <c r="AA116" s="1307"/>
      <c r="AD116" s="1392"/>
      <c r="AE116" s="1421"/>
      <c r="AI116" s="1307"/>
    </row>
    <row r="117" spans="1:35">
      <c r="A117" s="1307"/>
      <c r="C117" s="1307"/>
      <c r="D117" s="1307"/>
      <c r="W117" s="1307"/>
      <c r="Z117" s="1307"/>
      <c r="AA117" s="1307"/>
      <c r="AD117" s="1392"/>
      <c r="AE117" s="1421"/>
      <c r="AI117" s="1307"/>
    </row>
    <row r="118" spans="1:35">
      <c r="A118" s="1307"/>
      <c r="C118" s="1307"/>
      <c r="D118" s="1307"/>
      <c r="W118" s="1307"/>
      <c r="Z118" s="1307"/>
      <c r="AA118" s="1307"/>
      <c r="AD118" s="1392"/>
      <c r="AE118" s="1421"/>
      <c r="AI118" s="1307"/>
    </row>
    <row r="119" spans="1:35">
      <c r="A119" s="1307"/>
      <c r="C119" s="1307"/>
      <c r="D119" s="1307"/>
      <c r="W119" s="1307"/>
      <c r="Z119" s="1307"/>
      <c r="AA119" s="1307"/>
      <c r="AD119" s="1392"/>
      <c r="AE119" s="1421"/>
      <c r="AI119" s="1307"/>
    </row>
    <row r="120" spans="1:35">
      <c r="A120" s="1307"/>
      <c r="C120" s="1307"/>
      <c r="D120" s="1307"/>
      <c r="W120" s="1307"/>
      <c r="Z120" s="1307"/>
      <c r="AA120" s="1307"/>
      <c r="AD120" s="1392"/>
      <c r="AE120" s="1421"/>
      <c r="AI120" s="1307"/>
    </row>
    <row r="121" spans="1:35">
      <c r="A121" s="1307"/>
      <c r="C121" s="1307"/>
      <c r="D121" s="1307"/>
      <c r="W121" s="1307"/>
      <c r="Z121" s="1307"/>
      <c r="AA121" s="1307"/>
      <c r="AD121" s="1392"/>
      <c r="AE121" s="1421"/>
      <c r="AI121" s="1307"/>
    </row>
    <row r="122" spans="1:35">
      <c r="A122" s="1307"/>
      <c r="C122" s="1307"/>
      <c r="D122" s="1307"/>
      <c r="W122" s="1307"/>
      <c r="Z122" s="1307"/>
      <c r="AA122" s="1307"/>
      <c r="AD122" s="1392"/>
      <c r="AE122" s="1421"/>
      <c r="AI122" s="1307"/>
    </row>
    <row r="123" spans="1:35">
      <c r="A123" s="1307"/>
      <c r="C123" s="1307"/>
      <c r="D123" s="1307"/>
      <c r="W123" s="1307"/>
      <c r="Z123" s="1307"/>
      <c r="AA123" s="1307"/>
      <c r="AD123" s="1392"/>
      <c r="AE123" s="1421"/>
      <c r="AI123" s="1307"/>
    </row>
    <row r="124" spans="1:35">
      <c r="A124" s="1307"/>
      <c r="C124" s="1307"/>
      <c r="D124" s="1307"/>
      <c r="W124" s="1307"/>
      <c r="Z124" s="1307"/>
      <c r="AA124" s="1307"/>
      <c r="AD124" s="1392"/>
      <c r="AE124" s="1421"/>
      <c r="AI124" s="1307"/>
    </row>
    <row r="125" spans="1:35">
      <c r="A125" s="1307"/>
      <c r="C125" s="1307"/>
      <c r="D125" s="1307"/>
      <c r="W125" s="1307"/>
      <c r="Z125" s="1307"/>
      <c r="AA125" s="1307"/>
      <c r="AD125" s="1392"/>
      <c r="AE125" s="1421"/>
      <c r="AI125" s="1307"/>
    </row>
    <row r="126" spans="1:35">
      <c r="A126" s="1307"/>
      <c r="C126" s="1307"/>
      <c r="D126" s="1307"/>
      <c r="W126" s="1307"/>
      <c r="Z126" s="1307"/>
      <c r="AA126" s="1307"/>
      <c r="AD126" s="1392"/>
      <c r="AE126" s="1421"/>
      <c r="AI126" s="1307"/>
    </row>
    <row r="127" spans="1:35">
      <c r="A127" s="1307"/>
      <c r="C127" s="1307"/>
      <c r="D127" s="1307"/>
      <c r="W127" s="1307"/>
      <c r="Z127" s="1307"/>
      <c r="AA127" s="1307"/>
      <c r="AD127" s="1392"/>
      <c r="AE127" s="1421"/>
      <c r="AI127" s="1307"/>
    </row>
    <row r="128" spans="1:35">
      <c r="A128" s="1307"/>
      <c r="C128" s="1307"/>
      <c r="D128" s="1307"/>
      <c r="W128" s="1307"/>
      <c r="Z128" s="1307"/>
      <c r="AA128" s="1307"/>
      <c r="AD128" s="1392"/>
      <c r="AE128" s="1421"/>
      <c r="AI128" s="1307"/>
    </row>
    <row r="129" spans="1:35">
      <c r="A129" s="1307"/>
      <c r="C129" s="1307"/>
      <c r="D129" s="1307"/>
      <c r="W129" s="1307"/>
      <c r="Z129" s="1307"/>
      <c r="AA129" s="1307"/>
      <c r="AD129" s="1392"/>
      <c r="AE129" s="1421"/>
      <c r="AI129" s="1307"/>
    </row>
    <row r="130" spans="1:35">
      <c r="A130" s="1307"/>
      <c r="C130" s="1307"/>
      <c r="D130" s="1307"/>
      <c r="W130" s="1307"/>
      <c r="Z130" s="1307"/>
      <c r="AA130" s="1307"/>
      <c r="AD130" s="1392"/>
      <c r="AE130" s="1421"/>
      <c r="AI130" s="1307"/>
    </row>
    <row r="131" spans="1:35">
      <c r="A131" s="1307"/>
      <c r="C131" s="1307"/>
      <c r="D131" s="1307"/>
      <c r="W131" s="1307"/>
      <c r="Z131" s="1307"/>
      <c r="AA131" s="1307"/>
      <c r="AD131" s="1392"/>
      <c r="AE131" s="1421"/>
      <c r="AI131" s="1307"/>
    </row>
    <row r="132" spans="1:35">
      <c r="A132" s="1307"/>
      <c r="C132" s="1307"/>
      <c r="D132" s="1307"/>
      <c r="W132" s="1307"/>
      <c r="Z132" s="1307"/>
      <c r="AA132" s="1307"/>
      <c r="AD132" s="1392"/>
      <c r="AE132" s="1421"/>
      <c r="AI132" s="1307"/>
    </row>
    <row r="133" spans="1:35">
      <c r="A133" s="1307"/>
      <c r="C133" s="1307"/>
      <c r="D133" s="1307"/>
      <c r="W133" s="1307"/>
      <c r="Z133" s="1307"/>
      <c r="AA133" s="1307"/>
      <c r="AD133" s="1392"/>
      <c r="AE133" s="1421"/>
      <c r="AI133" s="1307"/>
    </row>
    <row r="134" spans="1:35">
      <c r="A134" s="1307"/>
      <c r="C134" s="1307"/>
      <c r="D134" s="1307"/>
      <c r="W134" s="1307"/>
      <c r="Z134" s="1307"/>
      <c r="AA134" s="1307"/>
      <c r="AD134" s="1392"/>
      <c r="AE134" s="1421"/>
      <c r="AI134" s="1307"/>
    </row>
    <row r="135" spans="1:35">
      <c r="A135" s="1307"/>
      <c r="C135" s="1307"/>
      <c r="D135" s="1307"/>
      <c r="W135" s="1307"/>
      <c r="Z135" s="1307"/>
      <c r="AA135" s="1307"/>
      <c r="AD135" s="1392"/>
      <c r="AE135" s="1421"/>
      <c r="AI135" s="1307"/>
    </row>
    <row r="136" spans="1:35">
      <c r="A136" s="1307"/>
      <c r="C136" s="1307"/>
      <c r="D136" s="1307"/>
      <c r="W136" s="1307"/>
      <c r="Z136" s="1307"/>
      <c r="AA136" s="1307"/>
      <c r="AD136" s="1392"/>
      <c r="AE136" s="1421"/>
      <c r="AI136" s="1307"/>
    </row>
    <row r="137" spans="1:35">
      <c r="A137" s="1307"/>
      <c r="C137" s="1307"/>
      <c r="D137" s="1307"/>
      <c r="W137" s="1307"/>
      <c r="Z137" s="1307"/>
      <c r="AA137" s="1307"/>
      <c r="AD137" s="1392"/>
      <c r="AE137" s="1421"/>
      <c r="AI137" s="1307"/>
    </row>
    <row r="138" spans="1:35">
      <c r="A138" s="1307"/>
      <c r="C138" s="1307"/>
      <c r="D138" s="1307"/>
      <c r="W138" s="1307"/>
      <c r="Z138" s="1307"/>
      <c r="AA138" s="1307"/>
      <c r="AD138" s="1392"/>
      <c r="AE138" s="1421"/>
      <c r="AI138" s="1307"/>
    </row>
    <row r="139" spans="1:35">
      <c r="A139" s="1307"/>
      <c r="C139" s="1307"/>
      <c r="D139" s="1307"/>
      <c r="W139" s="1307"/>
      <c r="Z139" s="1307"/>
      <c r="AA139" s="1307"/>
      <c r="AD139" s="1392"/>
      <c r="AE139" s="1421"/>
      <c r="AI139" s="1307"/>
    </row>
    <row r="140" spans="1:35">
      <c r="A140" s="1307"/>
      <c r="C140" s="1307"/>
      <c r="D140" s="1307"/>
      <c r="W140" s="1307"/>
      <c r="Z140" s="1307"/>
      <c r="AA140" s="1307"/>
      <c r="AD140" s="1392"/>
      <c r="AE140" s="1421"/>
      <c r="AI140" s="1307"/>
    </row>
    <row r="141" spans="1:35">
      <c r="A141" s="1307"/>
      <c r="C141" s="1307"/>
      <c r="D141" s="1307"/>
      <c r="W141" s="1307"/>
      <c r="Z141" s="1307"/>
      <c r="AA141" s="1307"/>
      <c r="AD141" s="1392"/>
      <c r="AE141" s="1421"/>
      <c r="AI141" s="1307"/>
    </row>
    <row r="142" spans="1:35">
      <c r="A142" s="1307"/>
      <c r="C142" s="1307"/>
      <c r="D142" s="1307"/>
      <c r="W142" s="1307"/>
      <c r="Z142" s="1307"/>
      <c r="AA142" s="1307"/>
      <c r="AD142" s="1392"/>
      <c r="AE142" s="1421"/>
      <c r="AI142" s="1307"/>
    </row>
    <row r="143" spans="1:35">
      <c r="A143" s="1307"/>
      <c r="C143" s="1307"/>
      <c r="D143" s="1307"/>
      <c r="W143" s="1307"/>
      <c r="Z143" s="1307"/>
      <c r="AA143" s="1307"/>
      <c r="AD143" s="1392"/>
      <c r="AE143" s="1421"/>
      <c r="AI143" s="1307"/>
    </row>
    <row r="144" spans="1:35">
      <c r="A144" s="1307"/>
      <c r="C144" s="1307"/>
      <c r="D144" s="1307"/>
      <c r="W144" s="1307"/>
      <c r="Z144" s="1307"/>
      <c r="AA144" s="1307"/>
      <c r="AD144" s="1392"/>
      <c r="AE144" s="1421"/>
      <c r="AI144" s="1307"/>
    </row>
    <row r="145" spans="1:35">
      <c r="A145" s="1307"/>
      <c r="C145" s="1307"/>
      <c r="D145" s="1307"/>
      <c r="W145" s="1307"/>
      <c r="Z145" s="1307"/>
      <c r="AA145" s="1307"/>
      <c r="AD145" s="1392"/>
      <c r="AE145" s="1421"/>
      <c r="AI145" s="1307"/>
    </row>
    <row r="146" spans="1:35">
      <c r="A146" s="1307"/>
      <c r="C146" s="1307"/>
      <c r="D146" s="1307"/>
      <c r="W146" s="1307"/>
      <c r="Z146" s="1307"/>
      <c r="AA146" s="1307"/>
      <c r="AD146" s="1392"/>
      <c r="AE146" s="1421"/>
      <c r="AI146" s="1307"/>
    </row>
    <row r="147" spans="1:35">
      <c r="A147" s="1307"/>
      <c r="C147" s="1307"/>
      <c r="D147" s="1307"/>
      <c r="W147" s="1307"/>
      <c r="Z147" s="1307"/>
      <c r="AA147" s="1307"/>
      <c r="AD147" s="1392"/>
      <c r="AE147" s="1421"/>
      <c r="AI147" s="1307"/>
    </row>
    <row r="148" spans="1:35">
      <c r="A148" s="1307"/>
      <c r="C148" s="1307"/>
      <c r="D148" s="1307"/>
      <c r="W148" s="1307"/>
      <c r="Z148" s="1307"/>
      <c r="AA148" s="1307"/>
      <c r="AD148" s="1392"/>
      <c r="AE148" s="1421"/>
      <c r="AI148" s="1307"/>
    </row>
    <row r="149" spans="1:35">
      <c r="A149" s="1307"/>
      <c r="C149" s="1307"/>
      <c r="D149" s="1307"/>
      <c r="W149" s="1307"/>
      <c r="Z149" s="1307"/>
      <c r="AA149" s="1307"/>
      <c r="AD149" s="1392"/>
      <c r="AE149" s="1421"/>
      <c r="AI149" s="1307"/>
    </row>
    <row r="150" spans="1:35">
      <c r="A150" s="1307"/>
      <c r="C150" s="1307"/>
      <c r="D150" s="1307"/>
      <c r="W150" s="1307"/>
      <c r="Z150" s="1307"/>
      <c r="AA150" s="1307"/>
      <c r="AD150" s="1392"/>
      <c r="AE150" s="1421"/>
      <c r="AI150" s="1307"/>
    </row>
    <row r="151" spans="1:35">
      <c r="A151" s="1307"/>
      <c r="C151" s="1307"/>
      <c r="D151" s="1307"/>
      <c r="W151" s="1307"/>
      <c r="Z151" s="1307"/>
      <c r="AA151" s="1307"/>
      <c r="AD151" s="1392"/>
      <c r="AE151" s="1421"/>
      <c r="AI151" s="1307"/>
    </row>
    <row r="152" spans="1:35">
      <c r="A152" s="1307"/>
      <c r="C152" s="1307"/>
      <c r="D152" s="1307"/>
      <c r="W152" s="1307"/>
      <c r="Z152" s="1307"/>
      <c r="AA152" s="1307"/>
      <c r="AD152" s="1392"/>
      <c r="AE152" s="1421"/>
      <c r="AI152" s="1307"/>
    </row>
    <row r="153" spans="1:35">
      <c r="A153" s="1307"/>
      <c r="C153" s="1307"/>
      <c r="D153" s="1307"/>
      <c r="W153" s="1307"/>
      <c r="Z153" s="1307"/>
      <c r="AA153" s="1307"/>
      <c r="AD153" s="1392"/>
      <c r="AE153" s="1421"/>
      <c r="AI153" s="1307"/>
    </row>
    <row r="154" spans="1:35">
      <c r="A154" s="1307"/>
      <c r="C154" s="1307"/>
      <c r="D154" s="1307"/>
      <c r="W154" s="1307"/>
      <c r="Z154" s="1307"/>
      <c r="AA154" s="1307"/>
      <c r="AD154" s="1392"/>
      <c r="AE154" s="1421"/>
      <c r="AI154" s="1307"/>
    </row>
    <row r="155" spans="1:35">
      <c r="A155" s="1307"/>
      <c r="C155" s="1307"/>
      <c r="D155" s="1307"/>
      <c r="W155" s="1307"/>
      <c r="Z155" s="1307"/>
      <c r="AA155" s="1307"/>
      <c r="AD155" s="1392"/>
      <c r="AE155" s="1421"/>
      <c r="AI155" s="1307"/>
    </row>
    <row r="156" spans="1:35">
      <c r="A156" s="1307"/>
      <c r="C156" s="1307"/>
      <c r="D156" s="1307"/>
      <c r="W156" s="1307"/>
      <c r="Z156" s="1307"/>
      <c r="AA156" s="1307"/>
      <c r="AD156" s="1392"/>
      <c r="AE156" s="1421"/>
      <c r="AI156" s="1307"/>
    </row>
    <row r="157" spans="1:35">
      <c r="A157" s="1307"/>
      <c r="C157" s="1307"/>
      <c r="D157" s="1307"/>
      <c r="W157" s="1307"/>
      <c r="Z157" s="1307"/>
      <c r="AA157" s="1307"/>
      <c r="AD157" s="1392"/>
      <c r="AE157" s="1421"/>
      <c r="AI157" s="1307"/>
    </row>
    <row r="158" spans="1:35">
      <c r="A158" s="1307"/>
      <c r="C158" s="1307"/>
      <c r="D158" s="1307"/>
      <c r="W158" s="1307"/>
      <c r="Z158" s="1307"/>
      <c r="AA158" s="1307"/>
      <c r="AD158" s="1392"/>
      <c r="AE158" s="1421"/>
      <c r="AI158" s="1307"/>
    </row>
    <row r="159" spans="1:35">
      <c r="A159" s="1307"/>
      <c r="C159" s="1307"/>
      <c r="D159" s="1307"/>
      <c r="W159" s="1307"/>
      <c r="Z159" s="1307"/>
      <c r="AA159" s="1307"/>
      <c r="AD159" s="1392"/>
      <c r="AE159" s="1421"/>
      <c r="AI159" s="1307"/>
    </row>
    <row r="160" spans="1:35">
      <c r="A160" s="1307"/>
      <c r="C160" s="1307"/>
      <c r="D160" s="1307"/>
      <c r="W160" s="1307"/>
      <c r="Z160" s="1307"/>
      <c r="AA160" s="1307"/>
      <c r="AD160" s="1392"/>
      <c r="AE160" s="1421"/>
      <c r="AI160" s="1307"/>
    </row>
    <row r="161" spans="1:35">
      <c r="A161" s="1307"/>
      <c r="C161" s="1307"/>
      <c r="D161" s="1307"/>
      <c r="W161" s="1307"/>
      <c r="Z161" s="1307"/>
      <c r="AA161" s="1307"/>
      <c r="AD161" s="1392"/>
      <c r="AE161" s="1421"/>
      <c r="AI161" s="1307"/>
    </row>
    <row r="162" spans="1:35">
      <c r="A162" s="1307"/>
      <c r="C162" s="1307"/>
      <c r="D162" s="1307"/>
      <c r="W162" s="1307"/>
      <c r="Z162" s="1307"/>
      <c r="AA162" s="1307"/>
      <c r="AD162" s="1392"/>
      <c r="AE162" s="1421"/>
      <c r="AI162" s="1307"/>
    </row>
    <row r="163" spans="1:35">
      <c r="A163" s="1307"/>
      <c r="C163" s="1307"/>
      <c r="D163" s="1307"/>
      <c r="W163" s="1307"/>
      <c r="Z163" s="1307"/>
      <c r="AA163" s="1307"/>
      <c r="AD163" s="1392"/>
      <c r="AE163" s="1421"/>
      <c r="AI163" s="1307"/>
    </row>
    <row r="164" spans="1:35">
      <c r="A164" s="1307"/>
      <c r="C164" s="1307"/>
      <c r="D164" s="1307"/>
      <c r="W164" s="1307"/>
      <c r="Z164" s="1307"/>
      <c r="AA164" s="1307"/>
      <c r="AD164" s="1392"/>
      <c r="AE164" s="1421"/>
      <c r="AI164" s="1307"/>
    </row>
    <row r="165" spans="1:35">
      <c r="A165" s="1307"/>
      <c r="C165" s="1307"/>
      <c r="D165" s="1307"/>
      <c r="W165" s="1307"/>
      <c r="Z165" s="1307"/>
      <c r="AA165" s="1307"/>
      <c r="AD165" s="1392"/>
      <c r="AE165" s="1421"/>
      <c r="AI165" s="1307"/>
    </row>
    <row r="166" spans="1:35">
      <c r="A166" s="1307"/>
      <c r="C166" s="1307"/>
      <c r="D166" s="1307"/>
      <c r="W166" s="1307"/>
      <c r="Z166" s="1307"/>
      <c r="AA166" s="1307"/>
      <c r="AD166" s="1392"/>
      <c r="AE166" s="1421"/>
      <c r="AI166" s="1307"/>
    </row>
    <row r="167" spans="1:35">
      <c r="A167" s="1307"/>
      <c r="C167" s="1307"/>
      <c r="D167" s="1307"/>
      <c r="W167" s="1307"/>
      <c r="Z167" s="1307"/>
      <c r="AA167" s="1307"/>
      <c r="AD167" s="1392"/>
      <c r="AE167" s="1421"/>
      <c r="AI167" s="1307"/>
    </row>
    <row r="168" spans="1:35">
      <c r="A168" s="1307"/>
      <c r="C168" s="1307"/>
      <c r="D168" s="1307"/>
      <c r="W168" s="1307"/>
      <c r="Z168" s="1307"/>
      <c r="AA168" s="1307"/>
      <c r="AD168" s="1392"/>
      <c r="AE168" s="1421"/>
      <c r="AI168" s="1307"/>
    </row>
    <row r="169" spans="1:35">
      <c r="A169" s="1307"/>
      <c r="C169" s="1307"/>
      <c r="D169" s="1307"/>
      <c r="W169" s="1307"/>
      <c r="Z169" s="1307"/>
      <c r="AA169" s="1307"/>
      <c r="AD169" s="1392"/>
      <c r="AE169" s="1421"/>
      <c r="AI169" s="1307"/>
    </row>
    <row r="170" spans="1:35">
      <c r="A170" s="1307"/>
      <c r="C170" s="1307"/>
      <c r="D170" s="1307"/>
      <c r="W170" s="1307"/>
      <c r="Z170" s="1307"/>
      <c r="AA170" s="1307"/>
      <c r="AD170" s="1392"/>
      <c r="AE170" s="1421"/>
      <c r="AI170" s="1307"/>
    </row>
    <row r="171" spans="1:35">
      <c r="A171" s="1307"/>
      <c r="C171" s="1307"/>
      <c r="D171" s="1307"/>
      <c r="W171" s="1307"/>
      <c r="Z171" s="1307"/>
      <c r="AA171" s="1307"/>
      <c r="AD171" s="1392"/>
      <c r="AE171" s="1421"/>
      <c r="AI171" s="1307"/>
    </row>
    <row r="172" spans="1:35">
      <c r="A172" s="1307"/>
      <c r="C172" s="1307"/>
      <c r="D172" s="1307"/>
      <c r="W172" s="1307"/>
      <c r="Z172" s="1307"/>
      <c r="AA172" s="1307"/>
      <c r="AD172" s="1392"/>
      <c r="AE172" s="1421"/>
      <c r="AI172" s="1307"/>
    </row>
    <row r="173" spans="1:35">
      <c r="A173" s="1307"/>
      <c r="C173" s="1307"/>
      <c r="D173" s="1307"/>
      <c r="W173" s="1307"/>
      <c r="Z173" s="1307"/>
      <c r="AA173" s="1307"/>
      <c r="AD173" s="1392"/>
      <c r="AE173" s="1421"/>
      <c r="AI173" s="1307"/>
    </row>
    <row r="174" spans="1:35">
      <c r="A174" s="1307"/>
      <c r="C174" s="1307"/>
      <c r="D174" s="1307"/>
      <c r="W174" s="1307"/>
      <c r="Z174" s="1307"/>
      <c r="AA174" s="1307"/>
      <c r="AD174" s="1392"/>
      <c r="AE174" s="1421"/>
      <c r="AI174" s="1307"/>
    </row>
    <row r="175" spans="1:35">
      <c r="A175" s="1307"/>
      <c r="C175" s="1307"/>
      <c r="D175" s="1307"/>
      <c r="W175" s="1307"/>
      <c r="Z175" s="1307"/>
      <c r="AA175" s="1307"/>
      <c r="AD175" s="1421"/>
      <c r="AE175" s="1421"/>
      <c r="AI175" s="1307"/>
    </row>
    <row r="176" spans="1:35">
      <c r="A176" s="1307"/>
      <c r="C176" s="1307"/>
      <c r="D176" s="1307"/>
      <c r="W176" s="1307"/>
      <c r="Z176" s="1307"/>
      <c r="AA176" s="1307"/>
      <c r="AD176" s="1421"/>
      <c r="AE176" s="1421"/>
      <c r="AI176" s="1307"/>
    </row>
    <row r="177" spans="1:35">
      <c r="A177" s="1307"/>
      <c r="C177" s="1307"/>
      <c r="D177" s="1307"/>
      <c r="W177" s="1307"/>
      <c r="Z177" s="1307"/>
      <c r="AA177" s="1307"/>
      <c r="AD177" s="1421"/>
      <c r="AE177" s="1421"/>
      <c r="AI177" s="1307"/>
    </row>
    <row r="178" spans="1:35">
      <c r="A178" s="1307"/>
      <c r="C178" s="1307"/>
      <c r="D178" s="1307"/>
      <c r="W178" s="1307"/>
      <c r="Z178" s="1307"/>
      <c r="AA178" s="1307"/>
      <c r="AD178" s="1421"/>
      <c r="AE178" s="1421"/>
      <c r="AI178" s="1307"/>
    </row>
    <row r="179" spans="1:35">
      <c r="A179" s="1307"/>
      <c r="C179" s="1307"/>
      <c r="D179" s="1307"/>
      <c r="W179" s="1307"/>
      <c r="Z179" s="1307"/>
      <c r="AA179" s="1307"/>
      <c r="AD179" s="1421"/>
      <c r="AE179" s="1421"/>
      <c r="AI179" s="1307"/>
    </row>
    <row r="180" spans="1:35">
      <c r="A180" s="1307"/>
      <c r="C180" s="1307"/>
      <c r="D180" s="1307"/>
      <c r="W180" s="1307"/>
      <c r="Z180" s="1307"/>
      <c r="AA180" s="1307"/>
      <c r="AD180" s="1421"/>
      <c r="AE180" s="1421"/>
      <c r="AI180" s="1307"/>
    </row>
    <row r="181" spans="1:35">
      <c r="A181" s="1307"/>
      <c r="C181" s="1307"/>
      <c r="D181" s="1307"/>
      <c r="W181" s="1307"/>
      <c r="Z181" s="1307"/>
      <c r="AA181" s="1307"/>
      <c r="AD181" s="1421"/>
      <c r="AE181" s="1421"/>
      <c r="AI181" s="1307"/>
    </row>
    <row r="182" spans="1:35">
      <c r="A182" s="1307"/>
      <c r="C182" s="1307"/>
      <c r="D182" s="1307"/>
      <c r="W182" s="1307"/>
      <c r="Z182" s="1307"/>
      <c r="AA182" s="1307"/>
      <c r="AD182" s="1421"/>
      <c r="AE182" s="1421"/>
      <c r="AI182" s="1307"/>
    </row>
    <row r="183" spans="1:35">
      <c r="A183" s="1307"/>
      <c r="C183" s="1307"/>
      <c r="D183" s="1307"/>
      <c r="W183" s="1307"/>
      <c r="Z183" s="1307"/>
      <c r="AA183" s="1307"/>
      <c r="AD183" s="1421"/>
      <c r="AE183" s="1421"/>
      <c r="AI183" s="1307"/>
    </row>
    <row r="184" spans="1:35">
      <c r="A184" s="1307"/>
      <c r="C184" s="1307"/>
      <c r="D184" s="1307"/>
      <c r="W184" s="1307"/>
      <c r="Z184" s="1307"/>
      <c r="AA184" s="1307"/>
      <c r="AD184" s="1421"/>
      <c r="AE184" s="1421"/>
      <c r="AI184" s="1307"/>
    </row>
    <row r="185" spans="1:35">
      <c r="A185" s="1307"/>
      <c r="C185" s="1307"/>
      <c r="D185" s="1307"/>
      <c r="W185" s="1307"/>
      <c r="Z185" s="1307"/>
      <c r="AA185" s="1307"/>
      <c r="AD185" s="1421"/>
      <c r="AE185" s="1421"/>
      <c r="AI185" s="1307"/>
    </row>
    <row r="186" spans="1:35">
      <c r="A186" s="1307"/>
      <c r="C186" s="1307"/>
      <c r="D186" s="1307"/>
      <c r="W186" s="1307"/>
      <c r="Z186" s="1307"/>
      <c r="AA186" s="1307"/>
      <c r="AD186" s="1421"/>
      <c r="AE186" s="1421"/>
      <c r="AI186" s="1307"/>
    </row>
    <row r="187" spans="1:35">
      <c r="A187" s="1307"/>
      <c r="C187" s="1307"/>
      <c r="D187" s="1307"/>
      <c r="W187" s="1307"/>
      <c r="Z187" s="1307"/>
      <c r="AA187" s="1307"/>
      <c r="AD187" s="1421"/>
      <c r="AE187" s="1421"/>
      <c r="AI187" s="1307"/>
    </row>
    <row r="188" spans="1:35">
      <c r="A188" s="1307"/>
      <c r="C188" s="1307"/>
      <c r="D188" s="1307"/>
      <c r="W188" s="1307"/>
      <c r="Z188" s="1307"/>
      <c r="AA188" s="1307"/>
      <c r="AD188" s="1421"/>
      <c r="AE188" s="1421"/>
      <c r="AI188" s="1307"/>
    </row>
    <row r="189" spans="1:35">
      <c r="AD189" s="1421"/>
      <c r="AE189" s="1421"/>
    </row>
    <row r="190" spans="1:35">
      <c r="AD190" s="1421"/>
      <c r="AE190" s="1421"/>
    </row>
    <row r="191" spans="1:35">
      <c r="A191" s="1307"/>
      <c r="C191" s="1307"/>
      <c r="D191" s="1307"/>
      <c r="W191" s="1307"/>
      <c r="Z191" s="1307"/>
      <c r="AA191" s="1307"/>
      <c r="AD191" s="1421"/>
      <c r="AE191" s="1421"/>
      <c r="AI191" s="1307"/>
    </row>
    <row r="192" spans="1:35">
      <c r="A192" s="1307"/>
      <c r="C192" s="1307"/>
      <c r="D192" s="1307"/>
      <c r="W192" s="1307"/>
      <c r="Z192" s="1307"/>
      <c r="AA192" s="1307"/>
      <c r="AD192" s="1421"/>
      <c r="AE192" s="1421"/>
      <c r="AI192" s="1307"/>
    </row>
    <row r="193" spans="1:35">
      <c r="A193" s="1307"/>
      <c r="C193" s="1307"/>
      <c r="D193" s="1307"/>
      <c r="W193" s="1307"/>
      <c r="Z193" s="1307"/>
      <c r="AA193" s="1307"/>
      <c r="AD193" s="1421"/>
      <c r="AE193" s="1421"/>
      <c r="AI193" s="1307"/>
    </row>
    <row r="194" spans="1:35">
      <c r="A194" s="1307"/>
      <c r="C194" s="1307"/>
      <c r="D194" s="1307"/>
      <c r="W194" s="1307"/>
      <c r="Z194" s="1307"/>
      <c r="AA194" s="1307"/>
      <c r="AD194" s="1421"/>
      <c r="AE194" s="1421"/>
      <c r="AI194" s="1307"/>
    </row>
    <row r="195" spans="1:35">
      <c r="A195" s="1307"/>
      <c r="C195" s="1307"/>
      <c r="D195" s="1307"/>
      <c r="W195" s="1307"/>
      <c r="Z195" s="1307"/>
      <c r="AA195" s="1307"/>
      <c r="AD195" s="1421"/>
      <c r="AE195" s="1421"/>
      <c r="AI195" s="1307"/>
    </row>
    <row r="196" spans="1:35">
      <c r="A196" s="1307"/>
      <c r="C196" s="1307"/>
      <c r="D196" s="1307"/>
      <c r="W196" s="1307"/>
      <c r="Z196" s="1307"/>
      <c r="AA196" s="1307"/>
      <c r="AD196" s="1421"/>
      <c r="AE196" s="1421"/>
      <c r="AI196" s="1307"/>
    </row>
    <row r="197" spans="1:35">
      <c r="A197" s="1307"/>
      <c r="C197" s="1307"/>
      <c r="D197" s="1307"/>
      <c r="W197" s="1307"/>
      <c r="Z197" s="1307"/>
      <c r="AA197" s="1307"/>
      <c r="AD197" s="1421"/>
      <c r="AE197" s="1421"/>
      <c r="AI197" s="1307"/>
    </row>
    <row r="198" spans="1:35">
      <c r="A198" s="1307"/>
      <c r="C198" s="1307"/>
      <c r="D198" s="1307"/>
      <c r="W198" s="1307"/>
      <c r="Z198" s="1307"/>
      <c r="AA198" s="1307"/>
      <c r="AI198" s="1307"/>
    </row>
    <row r="199" spans="1:35">
      <c r="A199" s="1307"/>
      <c r="C199" s="1307"/>
      <c r="D199" s="1307"/>
      <c r="W199" s="1307"/>
      <c r="Z199" s="1307"/>
      <c r="AA199" s="1307"/>
      <c r="AI199" s="1307"/>
    </row>
    <row r="200" spans="1:35">
      <c r="A200" s="1307"/>
      <c r="C200" s="1307"/>
      <c r="D200" s="1307"/>
      <c r="W200" s="1307"/>
      <c r="Z200" s="1307"/>
      <c r="AA200" s="1307"/>
      <c r="AI200" s="1307"/>
    </row>
    <row r="201" spans="1:35">
      <c r="A201" s="1307"/>
      <c r="C201" s="1307"/>
      <c r="D201" s="1307"/>
      <c r="W201" s="1307"/>
      <c r="Z201" s="1307"/>
      <c r="AA201" s="1307"/>
      <c r="AI201" s="1307"/>
    </row>
    <row r="202" spans="1:35">
      <c r="A202" s="1307"/>
      <c r="C202" s="1307"/>
      <c r="D202" s="1307"/>
      <c r="W202" s="1307"/>
      <c r="Z202" s="1307"/>
      <c r="AA202" s="1307"/>
      <c r="AI202" s="1307"/>
    </row>
    <row r="203" spans="1:35">
      <c r="A203" s="1307"/>
      <c r="C203" s="1307"/>
      <c r="D203" s="1307"/>
      <c r="W203" s="1307"/>
      <c r="Z203" s="1307"/>
      <c r="AA203" s="1307"/>
      <c r="AI203" s="1307"/>
    </row>
    <row r="204" spans="1:35">
      <c r="A204" s="1307"/>
      <c r="C204" s="1307"/>
      <c r="D204" s="1307"/>
      <c r="W204" s="1307"/>
      <c r="Z204" s="1307"/>
      <c r="AA204" s="1307"/>
      <c r="AI204" s="1307"/>
    </row>
    <row r="205" spans="1:35">
      <c r="A205" s="1307"/>
      <c r="C205" s="1307"/>
      <c r="D205" s="1307"/>
      <c r="W205" s="1307"/>
      <c r="Z205" s="1307"/>
      <c r="AA205" s="1307"/>
      <c r="AI205" s="1307"/>
    </row>
    <row r="206" spans="1:35">
      <c r="A206" s="1307"/>
      <c r="C206" s="1307"/>
      <c r="D206" s="1307"/>
      <c r="W206" s="1307"/>
      <c r="Z206" s="1307"/>
      <c r="AA206" s="1307"/>
      <c r="AI206" s="1307"/>
    </row>
    <row r="207" spans="1:35">
      <c r="A207" s="1307"/>
      <c r="C207" s="1307"/>
      <c r="D207" s="1307"/>
      <c r="W207" s="1307"/>
      <c r="Z207" s="1307"/>
      <c r="AA207" s="1307"/>
      <c r="AI207" s="1307"/>
    </row>
    <row r="208" spans="1:35">
      <c r="A208" s="1307"/>
      <c r="C208" s="1307"/>
      <c r="D208" s="1307"/>
      <c r="W208" s="1307"/>
      <c r="Z208" s="1307"/>
      <c r="AA208" s="1307"/>
      <c r="AI208" s="1307"/>
    </row>
    <row r="209" spans="1:35">
      <c r="A209" s="1307"/>
      <c r="C209" s="1307"/>
      <c r="D209" s="1307"/>
      <c r="W209" s="1307"/>
      <c r="Z209" s="1307"/>
      <c r="AA209" s="1307"/>
      <c r="AI209" s="1307"/>
    </row>
    <row r="210" spans="1:35">
      <c r="A210" s="1307"/>
      <c r="C210" s="1307"/>
      <c r="D210" s="1307"/>
      <c r="W210" s="1307"/>
      <c r="Z210" s="1307"/>
      <c r="AA210" s="1307"/>
      <c r="AI210" s="1307"/>
    </row>
    <row r="211" spans="1:35">
      <c r="A211" s="1307"/>
      <c r="C211" s="1307"/>
      <c r="D211" s="1307"/>
      <c r="W211" s="1307"/>
      <c r="Z211" s="1307"/>
      <c r="AA211" s="1307"/>
      <c r="AI211" s="1307"/>
    </row>
    <row r="212" spans="1:35">
      <c r="A212" s="1307"/>
      <c r="C212" s="1307"/>
      <c r="D212" s="1307"/>
      <c r="W212" s="1307"/>
      <c r="Z212" s="1307"/>
      <c r="AA212" s="1307"/>
      <c r="AI212" s="1307"/>
    </row>
    <row r="213" spans="1:35">
      <c r="A213" s="1307"/>
      <c r="C213" s="1307"/>
      <c r="D213" s="1307"/>
      <c r="W213" s="1307"/>
      <c r="Z213" s="1307"/>
      <c r="AA213" s="1307"/>
      <c r="AI213" s="1307"/>
    </row>
    <row r="214" spans="1:35">
      <c r="A214" s="1307"/>
      <c r="C214" s="1307"/>
      <c r="D214" s="1307"/>
      <c r="W214" s="1307"/>
      <c r="Z214" s="1307"/>
      <c r="AA214" s="1307"/>
      <c r="AI214" s="1307"/>
    </row>
    <row r="215" spans="1:35">
      <c r="A215" s="1307"/>
      <c r="C215" s="1307"/>
      <c r="D215" s="1307"/>
      <c r="W215" s="1307"/>
      <c r="Z215" s="1307"/>
      <c r="AA215" s="1307"/>
      <c r="AI215" s="1307"/>
    </row>
    <row r="216" spans="1:35">
      <c r="A216" s="1307"/>
      <c r="C216" s="1307"/>
      <c r="D216" s="1307"/>
      <c r="W216" s="1307"/>
      <c r="Z216" s="1307"/>
      <c r="AA216" s="1307"/>
      <c r="AI216" s="1307"/>
    </row>
    <row r="217" spans="1:35">
      <c r="A217" s="1307"/>
      <c r="C217" s="1307"/>
      <c r="D217" s="1307"/>
      <c r="W217" s="1307"/>
      <c r="Z217" s="1307"/>
      <c r="AA217" s="1307"/>
      <c r="AI217" s="1307"/>
    </row>
    <row r="218" spans="1:35">
      <c r="A218" s="1307"/>
      <c r="C218" s="1307"/>
      <c r="D218" s="1307"/>
      <c r="W218" s="1307"/>
      <c r="Z218" s="1307"/>
      <c r="AA218" s="1307"/>
      <c r="AI218" s="1307"/>
    </row>
    <row r="219" spans="1:35">
      <c r="A219" s="1307"/>
      <c r="C219" s="1307"/>
      <c r="D219" s="1307"/>
      <c r="W219" s="1307"/>
      <c r="Z219" s="1307"/>
      <c r="AA219" s="1307"/>
      <c r="AI219" s="1307"/>
    </row>
    <row r="220" spans="1:35">
      <c r="A220" s="1307"/>
      <c r="C220" s="1307"/>
      <c r="D220" s="1307"/>
      <c r="W220" s="1307"/>
      <c r="Z220" s="1307"/>
      <c r="AA220" s="1307"/>
      <c r="AI220" s="1307"/>
    </row>
    <row r="221" spans="1:35">
      <c r="A221" s="1307"/>
      <c r="C221" s="1307"/>
      <c r="D221" s="1307"/>
      <c r="W221" s="1307"/>
      <c r="Z221" s="1307"/>
      <c r="AA221" s="1307"/>
      <c r="AI221" s="1307"/>
    </row>
    <row r="222" spans="1:35">
      <c r="A222" s="1307"/>
      <c r="C222" s="1307"/>
      <c r="D222" s="1307"/>
      <c r="W222" s="1307"/>
      <c r="Z222" s="1307"/>
      <c r="AA222" s="1307"/>
      <c r="AI222" s="1307"/>
    </row>
    <row r="223" spans="1:35">
      <c r="A223" s="1307"/>
      <c r="C223" s="1307"/>
      <c r="D223" s="1307"/>
      <c r="W223" s="1307"/>
      <c r="Z223" s="1307"/>
      <c r="AA223" s="1307"/>
      <c r="AI223" s="1307"/>
    </row>
    <row r="224" spans="1:35">
      <c r="A224" s="1307"/>
      <c r="C224" s="1307"/>
      <c r="D224" s="1307"/>
      <c r="W224" s="1307"/>
      <c r="Z224" s="1307"/>
      <c r="AA224" s="1307"/>
      <c r="AI224" s="1307"/>
    </row>
    <row r="225" spans="1:35">
      <c r="A225" s="1307"/>
      <c r="C225" s="1307"/>
      <c r="D225" s="1307"/>
      <c r="W225" s="1307"/>
      <c r="Z225" s="1307"/>
      <c r="AA225" s="1307"/>
      <c r="AI225" s="1307"/>
    </row>
    <row r="226" spans="1:35">
      <c r="A226" s="1307"/>
      <c r="C226" s="1307"/>
      <c r="D226" s="1307"/>
      <c r="W226" s="1307"/>
      <c r="Z226" s="1307"/>
      <c r="AA226" s="1307"/>
      <c r="AI226" s="1307"/>
    </row>
    <row r="227" spans="1:35">
      <c r="A227" s="1307"/>
      <c r="C227" s="1307"/>
      <c r="D227" s="1307"/>
      <c r="W227" s="1307"/>
      <c r="Z227" s="1307"/>
      <c r="AA227" s="1307"/>
      <c r="AI227" s="1307"/>
    </row>
    <row r="228" spans="1:35">
      <c r="A228" s="1307"/>
      <c r="C228" s="1307"/>
      <c r="D228" s="1307"/>
      <c r="W228" s="1307"/>
      <c r="Z228" s="1307"/>
      <c r="AA228" s="1307"/>
      <c r="AI228" s="1307"/>
    </row>
    <row r="229" spans="1:35">
      <c r="A229" s="1307"/>
      <c r="C229" s="1307"/>
      <c r="D229" s="1307"/>
      <c r="W229" s="1307"/>
      <c r="Z229" s="1307"/>
      <c r="AA229" s="1307"/>
      <c r="AI229" s="1307"/>
    </row>
    <row r="230" spans="1:35">
      <c r="A230" s="1307"/>
      <c r="C230" s="1307"/>
      <c r="D230" s="1307"/>
      <c r="W230" s="1307"/>
      <c r="Z230" s="1307"/>
      <c r="AA230" s="1307"/>
      <c r="AI230" s="1307"/>
    </row>
    <row r="231" spans="1:35">
      <c r="A231" s="1307"/>
      <c r="C231" s="1307"/>
      <c r="D231" s="1307"/>
      <c r="W231" s="1307"/>
      <c r="Z231" s="1307"/>
      <c r="AA231" s="1307"/>
      <c r="AI231" s="1307"/>
    </row>
    <row r="232" spans="1:35">
      <c r="A232" s="1307"/>
      <c r="C232" s="1307"/>
      <c r="D232" s="1307"/>
      <c r="W232" s="1307"/>
      <c r="Z232" s="1307"/>
      <c r="AA232" s="1307"/>
      <c r="AI232" s="1307"/>
    </row>
    <row r="233" spans="1:35">
      <c r="A233" s="1307"/>
      <c r="C233" s="1307"/>
      <c r="D233" s="1307"/>
      <c r="W233" s="1307"/>
      <c r="Z233" s="1307"/>
      <c r="AA233" s="1307"/>
      <c r="AI233" s="1307"/>
    </row>
    <row r="234" spans="1:35">
      <c r="A234" s="1307"/>
      <c r="C234" s="1307"/>
      <c r="D234" s="1307"/>
      <c r="W234" s="1307"/>
      <c r="Z234" s="1307"/>
      <c r="AA234" s="1307"/>
      <c r="AI234" s="1307"/>
    </row>
    <row r="235" spans="1:35">
      <c r="A235" s="1307"/>
      <c r="C235" s="1307"/>
      <c r="D235" s="1307"/>
      <c r="W235" s="1307"/>
      <c r="Z235" s="1307"/>
      <c r="AA235" s="1307"/>
      <c r="AI235" s="1307"/>
    </row>
    <row r="236" spans="1:35">
      <c r="A236" s="1307"/>
      <c r="C236" s="1307"/>
      <c r="D236" s="1307"/>
      <c r="W236" s="1307"/>
      <c r="Z236" s="1307"/>
      <c r="AA236" s="1307"/>
      <c r="AI236" s="1307"/>
    </row>
    <row r="237" spans="1:35">
      <c r="A237" s="1307"/>
      <c r="C237" s="1307"/>
      <c r="D237" s="1307"/>
      <c r="W237" s="1307"/>
      <c r="Z237" s="1307"/>
      <c r="AA237" s="1307"/>
      <c r="AI237" s="1307"/>
    </row>
    <row r="238" spans="1:35">
      <c r="A238" s="1307"/>
      <c r="C238" s="1307"/>
      <c r="D238" s="1307"/>
      <c r="W238" s="1307"/>
      <c r="Z238" s="1307"/>
      <c r="AA238" s="1307"/>
      <c r="AI238" s="1307"/>
    </row>
    <row r="239" spans="1:35">
      <c r="A239" s="1307"/>
      <c r="C239" s="1307"/>
      <c r="D239" s="1307"/>
      <c r="W239" s="1307"/>
      <c r="Z239" s="1307"/>
      <c r="AA239" s="1307"/>
      <c r="AI239" s="1307"/>
    </row>
    <row r="240" spans="1:35">
      <c r="A240" s="1307"/>
      <c r="C240" s="1307"/>
      <c r="D240" s="1307"/>
      <c r="W240" s="1307"/>
      <c r="Z240" s="1307"/>
      <c r="AA240" s="1307"/>
      <c r="AI240" s="1307"/>
    </row>
    <row r="241" spans="1:35">
      <c r="A241" s="1307"/>
      <c r="C241" s="1307"/>
      <c r="D241" s="1307"/>
      <c r="W241" s="1307"/>
      <c r="Z241" s="1307"/>
      <c r="AA241" s="1307"/>
      <c r="AI241" s="1307"/>
    </row>
    <row r="242" spans="1:35">
      <c r="A242" s="1307"/>
      <c r="C242" s="1307"/>
      <c r="D242" s="1307"/>
      <c r="W242" s="1307"/>
      <c r="Z242" s="1307"/>
      <c r="AA242" s="1307"/>
      <c r="AI242" s="1307"/>
    </row>
    <row r="243" spans="1:35">
      <c r="A243" s="1307"/>
      <c r="C243" s="1307"/>
      <c r="D243" s="1307"/>
      <c r="W243" s="1307"/>
      <c r="Z243" s="1307"/>
      <c r="AA243" s="1307"/>
      <c r="AI243" s="1307"/>
    </row>
    <row r="244" spans="1:35">
      <c r="A244" s="1307"/>
      <c r="C244" s="1307"/>
      <c r="D244" s="1307"/>
      <c r="W244" s="1307"/>
      <c r="Z244" s="1307"/>
      <c r="AA244" s="1307"/>
      <c r="AI244" s="1307"/>
    </row>
    <row r="245" spans="1:35">
      <c r="A245" s="1307"/>
      <c r="C245" s="1307"/>
      <c r="D245" s="1307"/>
      <c r="W245" s="1307"/>
      <c r="Z245" s="1307"/>
      <c r="AA245" s="1307"/>
      <c r="AI245" s="1307"/>
    </row>
    <row r="246" spans="1:35">
      <c r="A246" s="1307"/>
      <c r="C246" s="1307"/>
      <c r="D246" s="1307"/>
      <c r="W246" s="1307"/>
      <c r="Z246" s="1307"/>
      <c r="AA246" s="1307"/>
      <c r="AI246" s="1307"/>
    </row>
    <row r="247" spans="1:35">
      <c r="A247" s="1307"/>
      <c r="C247" s="1307"/>
      <c r="D247" s="1307"/>
      <c r="W247" s="1307"/>
      <c r="Z247" s="1307"/>
      <c r="AA247" s="1307"/>
      <c r="AI247" s="1307"/>
    </row>
    <row r="248" spans="1:35">
      <c r="A248" s="1307"/>
      <c r="C248" s="1307"/>
      <c r="D248" s="1307"/>
      <c r="W248" s="1307"/>
      <c r="Z248" s="1307"/>
      <c r="AA248" s="1307"/>
      <c r="AI248" s="1307"/>
    </row>
    <row r="249" spans="1:35">
      <c r="A249" s="1307"/>
      <c r="C249" s="1307"/>
      <c r="D249" s="1307"/>
      <c r="W249" s="1307"/>
      <c r="Z249" s="1307"/>
      <c r="AA249" s="1307"/>
      <c r="AI249" s="1307"/>
    </row>
    <row r="250" spans="1:35">
      <c r="A250" s="1307"/>
      <c r="C250" s="1307"/>
      <c r="D250" s="1307"/>
      <c r="W250" s="1307"/>
      <c r="Z250" s="1307"/>
      <c r="AA250" s="1307"/>
      <c r="AI250" s="1307"/>
    </row>
    <row r="251" spans="1:35">
      <c r="A251" s="1307"/>
      <c r="C251" s="1307"/>
      <c r="D251" s="1307"/>
      <c r="W251" s="1307"/>
      <c r="Z251" s="1307"/>
      <c r="AA251" s="1307"/>
      <c r="AI251" s="1307"/>
    </row>
    <row r="252" spans="1:35">
      <c r="A252" s="1307"/>
      <c r="C252" s="1307"/>
      <c r="D252" s="1307"/>
      <c r="W252" s="1307"/>
      <c r="Z252" s="1307"/>
      <c r="AA252" s="1307"/>
      <c r="AI252" s="1307"/>
    </row>
    <row r="253" spans="1:35">
      <c r="A253" s="1307"/>
      <c r="C253" s="1307"/>
      <c r="D253" s="1307"/>
      <c r="W253" s="1307"/>
      <c r="Z253" s="1307"/>
      <c r="AA253" s="1307"/>
      <c r="AI253" s="1307"/>
    </row>
    <row r="254" spans="1:35">
      <c r="A254" s="1307"/>
      <c r="C254" s="1307"/>
      <c r="D254" s="1307"/>
      <c r="W254" s="1307"/>
      <c r="Z254" s="1307"/>
      <c r="AA254" s="1307"/>
      <c r="AI254" s="1307"/>
    </row>
    <row r="255" spans="1:35">
      <c r="A255" s="1307"/>
      <c r="C255" s="1307"/>
      <c r="D255" s="1307"/>
      <c r="W255" s="1307"/>
      <c r="Z255" s="1307"/>
      <c r="AA255" s="1307"/>
      <c r="AI255" s="1307"/>
    </row>
    <row r="256" spans="1:35">
      <c r="A256" s="1307"/>
      <c r="C256" s="1307"/>
      <c r="D256" s="1307"/>
      <c r="W256" s="1307"/>
      <c r="Z256" s="1307"/>
      <c r="AA256" s="1307"/>
      <c r="AI256" s="1307"/>
    </row>
    <row r="257" spans="1:35">
      <c r="A257" s="1307"/>
      <c r="C257" s="1307"/>
      <c r="D257" s="1307"/>
      <c r="W257" s="1307"/>
      <c r="Z257" s="1307"/>
      <c r="AA257" s="1307"/>
      <c r="AI257" s="1307"/>
    </row>
    <row r="258" spans="1:35">
      <c r="A258" s="1307"/>
      <c r="C258" s="1307"/>
      <c r="D258" s="1307"/>
      <c r="W258" s="1307"/>
      <c r="Z258" s="1307"/>
      <c r="AA258" s="1307"/>
      <c r="AI258" s="1307"/>
    </row>
    <row r="259" spans="1:35">
      <c r="A259" s="1307"/>
      <c r="C259" s="1307"/>
      <c r="D259" s="1307"/>
      <c r="W259" s="1307"/>
      <c r="Z259" s="1307"/>
      <c r="AA259" s="1307"/>
      <c r="AI259" s="1307"/>
    </row>
    <row r="260" spans="1:35">
      <c r="A260" s="1307"/>
      <c r="C260" s="1307"/>
      <c r="D260" s="1307"/>
      <c r="W260" s="1307"/>
      <c r="Z260" s="1307"/>
      <c r="AA260" s="1307"/>
      <c r="AI260" s="1307"/>
    </row>
    <row r="261" spans="1:35">
      <c r="A261" s="1307"/>
      <c r="C261" s="1307"/>
      <c r="D261" s="1307"/>
      <c r="W261" s="1307"/>
      <c r="Z261" s="1307"/>
      <c r="AA261" s="1307"/>
      <c r="AI261" s="1307"/>
    </row>
    <row r="262" spans="1:35">
      <c r="A262" s="1307"/>
      <c r="C262" s="1307"/>
      <c r="D262" s="1307"/>
      <c r="W262" s="1307"/>
      <c r="Z262" s="1307"/>
      <c r="AA262" s="1307"/>
      <c r="AI262" s="1307"/>
    </row>
    <row r="263" spans="1:35">
      <c r="A263" s="1307"/>
      <c r="C263" s="1307"/>
      <c r="D263" s="1307"/>
      <c r="W263" s="1307"/>
      <c r="Z263" s="1307"/>
      <c r="AA263" s="1307"/>
      <c r="AI263" s="1307"/>
    </row>
    <row r="264" spans="1:35">
      <c r="A264" s="1307"/>
      <c r="C264" s="1307"/>
      <c r="D264" s="1307"/>
      <c r="W264" s="1307"/>
      <c r="Z264" s="1307"/>
      <c r="AA264" s="1307"/>
      <c r="AI264" s="1307"/>
    </row>
    <row r="265" spans="1:35">
      <c r="A265" s="1307"/>
      <c r="C265" s="1307"/>
      <c r="D265" s="1307"/>
      <c r="W265" s="1307"/>
      <c r="Z265" s="1307"/>
      <c r="AA265" s="1307"/>
      <c r="AI265" s="1307"/>
    </row>
    <row r="266" spans="1:35">
      <c r="A266" s="1307"/>
      <c r="C266" s="1307"/>
      <c r="D266" s="1307"/>
      <c r="W266" s="1307"/>
      <c r="Z266" s="1307"/>
      <c r="AA266" s="1307"/>
      <c r="AI266" s="1307"/>
    </row>
    <row r="267" spans="1:35">
      <c r="A267" s="1307"/>
      <c r="C267" s="1307"/>
      <c r="D267" s="1307"/>
      <c r="W267" s="1307"/>
      <c r="Z267" s="1307"/>
      <c r="AA267" s="1307"/>
      <c r="AI267" s="1307"/>
    </row>
    <row r="268" spans="1:35">
      <c r="A268" s="1307"/>
      <c r="C268" s="1307"/>
      <c r="D268" s="1307"/>
      <c r="W268" s="1307"/>
      <c r="Z268" s="1307"/>
      <c r="AA268" s="1307"/>
      <c r="AI268" s="1307"/>
    </row>
    <row r="269" spans="1:35">
      <c r="A269" s="1307"/>
      <c r="C269" s="1307"/>
      <c r="D269" s="1307"/>
      <c r="W269" s="1307"/>
      <c r="Z269" s="1307"/>
      <c r="AA269" s="1307"/>
      <c r="AI269" s="1307"/>
    </row>
    <row r="270" spans="1:35">
      <c r="A270" s="1307"/>
      <c r="C270" s="1307"/>
      <c r="D270" s="1307"/>
      <c r="W270" s="1307"/>
      <c r="Z270" s="1307"/>
      <c r="AA270" s="1307"/>
      <c r="AI270" s="1307"/>
    </row>
    <row r="271" spans="1:35">
      <c r="A271" s="1307"/>
      <c r="C271" s="1307"/>
      <c r="D271" s="1307"/>
      <c r="W271" s="1307"/>
      <c r="Z271" s="1307"/>
      <c r="AA271" s="1307"/>
      <c r="AI271" s="1307"/>
    </row>
    <row r="272" spans="1:35">
      <c r="A272" s="1307"/>
      <c r="C272" s="1307"/>
      <c r="D272" s="1307"/>
      <c r="W272" s="1307"/>
      <c r="Z272" s="1307"/>
      <c r="AA272" s="1307"/>
      <c r="AI272" s="1307"/>
    </row>
    <row r="273" spans="1:35">
      <c r="A273" s="1307"/>
      <c r="C273" s="1307"/>
      <c r="D273" s="1307"/>
      <c r="W273" s="1307"/>
      <c r="Z273" s="1307"/>
      <c r="AA273" s="1307"/>
      <c r="AI273" s="1307"/>
    </row>
    <row r="274" spans="1:35">
      <c r="A274" s="1307"/>
      <c r="C274" s="1307"/>
      <c r="D274" s="1307"/>
      <c r="W274" s="1307"/>
      <c r="Z274" s="1307"/>
      <c r="AA274" s="1307"/>
      <c r="AI274" s="1307"/>
    </row>
    <row r="275" spans="1:35">
      <c r="A275" s="1307"/>
      <c r="C275" s="1307"/>
      <c r="D275" s="1307"/>
      <c r="W275" s="1307"/>
      <c r="Z275" s="1307"/>
      <c r="AA275" s="1307"/>
      <c r="AI275" s="1307"/>
    </row>
    <row r="276" spans="1:35">
      <c r="A276" s="1307"/>
      <c r="C276" s="1307"/>
      <c r="D276" s="1307"/>
      <c r="W276" s="1307"/>
      <c r="Z276" s="1307"/>
      <c r="AA276" s="1307"/>
      <c r="AI276" s="1307"/>
    </row>
    <row r="277" spans="1:35">
      <c r="A277" s="1307"/>
      <c r="C277" s="1307"/>
      <c r="D277" s="1307"/>
      <c r="W277" s="1307"/>
      <c r="Z277" s="1307"/>
      <c r="AA277" s="1307"/>
      <c r="AI277" s="1307"/>
    </row>
    <row r="278" spans="1:35">
      <c r="A278" s="1307"/>
      <c r="C278" s="1307"/>
      <c r="D278" s="1307"/>
      <c r="W278" s="1307"/>
      <c r="Z278" s="1307"/>
      <c r="AA278" s="1307"/>
      <c r="AI278" s="1307"/>
    </row>
    <row r="279" spans="1:35">
      <c r="A279" s="1307"/>
      <c r="C279" s="1307"/>
      <c r="D279" s="1307"/>
      <c r="W279" s="1307"/>
      <c r="Z279" s="1307"/>
      <c r="AA279" s="1307"/>
      <c r="AI279" s="1307"/>
    </row>
    <row r="280" spans="1:35">
      <c r="A280" s="1307"/>
      <c r="C280" s="1307"/>
      <c r="D280" s="1307"/>
      <c r="W280" s="1307"/>
      <c r="Z280" s="1307"/>
      <c r="AA280" s="1307"/>
      <c r="AI280" s="1307"/>
    </row>
    <row r="281" spans="1:35">
      <c r="A281" s="1307"/>
      <c r="C281" s="1307"/>
      <c r="D281" s="1307"/>
      <c r="W281" s="1307"/>
      <c r="Z281" s="1307"/>
      <c r="AA281" s="1307"/>
      <c r="AI281" s="1307"/>
    </row>
    <row r="282" spans="1:35">
      <c r="A282" s="1307"/>
      <c r="C282" s="1307"/>
      <c r="D282" s="1307"/>
      <c r="W282" s="1307"/>
      <c r="Z282" s="1307"/>
      <c r="AA282" s="1307"/>
      <c r="AI282" s="1307"/>
    </row>
    <row r="283" spans="1:35">
      <c r="A283" s="1307"/>
      <c r="C283" s="1307"/>
      <c r="D283" s="1307"/>
      <c r="W283" s="1307"/>
      <c r="Z283" s="1307"/>
      <c r="AA283" s="1307"/>
      <c r="AI283" s="1307"/>
    </row>
    <row r="284" spans="1:35">
      <c r="A284" s="1307"/>
      <c r="C284" s="1307"/>
      <c r="D284" s="1307"/>
      <c r="W284" s="1307"/>
      <c r="Z284" s="1307"/>
      <c r="AA284" s="1307"/>
      <c r="AI284" s="1307"/>
    </row>
    <row r="285" spans="1:35">
      <c r="A285" s="1307"/>
      <c r="C285" s="1307"/>
      <c r="D285" s="1307"/>
      <c r="W285" s="1307"/>
      <c r="Z285" s="1307"/>
      <c r="AA285" s="1307"/>
      <c r="AI285" s="1307"/>
    </row>
    <row r="286" spans="1:35">
      <c r="A286" s="1307"/>
      <c r="C286" s="1307"/>
      <c r="D286" s="1307"/>
      <c r="W286" s="1307"/>
      <c r="Z286" s="1307"/>
      <c r="AA286" s="1307"/>
      <c r="AI286" s="1307"/>
    </row>
    <row r="287" spans="1:35">
      <c r="A287" s="1307"/>
      <c r="C287" s="1307"/>
      <c r="D287" s="1307"/>
      <c r="W287" s="1307"/>
      <c r="Z287" s="1307"/>
      <c r="AA287" s="1307"/>
      <c r="AI287" s="1307"/>
    </row>
    <row r="288" spans="1:35">
      <c r="A288" s="1307"/>
      <c r="C288" s="1307"/>
      <c r="D288" s="1307"/>
      <c r="W288" s="1307"/>
      <c r="Z288" s="1307"/>
      <c r="AA288" s="1307"/>
      <c r="AI288" s="1307"/>
    </row>
    <row r="289" spans="1:35">
      <c r="A289" s="1307"/>
      <c r="C289" s="1307"/>
      <c r="D289" s="1307"/>
      <c r="W289" s="1307"/>
      <c r="Z289" s="1307"/>
      <c r="AA289" s="1307"/>
      <c r="AI289" s="1307"/>
    </row>
    <row r="290" spans="1:35">
      <c r="A290" s="1307"/>
      <c r="C290" s="1307"/>
      <c r="D290" s="1307"/>
      <c r="W290" s="1307"/>
      <c r="Z290" s="1307"/>
      <c r="AA290" s="1307"/>
      <c r="AI290" s="1307"/>
    </row>
    <row r="291" spans="1:35">
      <c r="A291" s="1307"/>
      <c r="C291" s="1307"/>
      <c r="D291" s="1307"/>
      <c r="W291" s="1307"/>
      <c r="Z291" s="1307"/>
      <c r="AA291" s="1307"/>
      <c r="AI291" s="1307"/>
    </row>
    <row r="292" spans="1:35">
      <c r="A292" s="1307"/>
      <c r="C292" s="1307"/>
      <c r="D292" s="1307"/>
      <c r="W292" s="1307"/>
      <c r="Z292" s="1307"/>
      <c r="AA292" s="1307"/>
      <c r="AI292" s="1307"/>
    </row>
    <row r="293" spans="1:35">
      <c r="A293" s="1307"/>
      <c r="C293" s="1307"/>
      <c r="D293" s="1307"/>
      <c r="W293" s="1307"/>
      <c r="Z293" s="1307"/>
      <c r="AA293" s="1307"/>
      <c r="AI293" s="1307"/>
    </row>
    <row r="294" spans="1:35">
      <c r="A294" s="1307"/>
      <c r="C294" s="1307"/>
      <c r="D294" s="1307"/>
      <c r="W294" s="1307"/>
      <c r="Z294" s="1307"/>
      <c r="AA294" s="1307"/>
      <c r="AI294" s="1307"/>
    </row>
    <row r="295" spans="1:35">
      <c r="A295" s="1307"/>
      <c r="C295" s="1307"/>
      <c r="D295" s="1307"/>
      <c r="W295" s="1307"/>
      <c r="Z295" s="1307"/>
      <c r="AA295" s="1307"/>
      <c r="AI295" s="1307"/>
    </row>
    <row r="296" spans="1:35">
      <c r="A296" s="1307"/>
      <c r="C296" s="1307"/>
      <c r="D296" s="1307"/>
      <c r="W296" s="1307"/>
      <c r="Z296" s="1307"/>
      <c r="AA296" s="1307"/>
      <c r="AI296" s="1307"/>
    </row>
    <row r="297" spans="1:35">
      <c r="A297" s="1307"/>
      <c r="C297" s="1307"/>
      <c r="D297" s="1307"/>
      <c r="W297" s="1307"/>
      <c r="Z297" s="1307"/>
      <c r="AA297" s="1307"/>
      <c r="AI297" s="1307"/>
    </row>
    <row r="298" spans="1:35">
      <c r="A298" s="1307"/>
      <c r="C298" s="1307"/>
      <c r="D298" s="1307"/>
      <c r="W298" s="1307"/>
      <c r="Z298" s="1307"/>
      <c r="AA298" s="1307"/>
      <c r="AI298" s="1307"/>
    </row>
    <row r="299" spans="1:35">
      <c r="A299" s="1307"/>
      <c r="C299" s="1307"/>
      <c r="D299" s="1307"/>
      <c r="W299" s="1307"/>
      <c r="Z299" s="1307"/>
      <c r="AA299" s="1307"/>
      <c r="AI299" s="1307"/>
    </row>
    <row r="300" spans="1:35">
      <c r="A300" s="1307"/>
      <c r="C300" s="1307"/>
      <c r="D300" s="1307"/>
      <c r="W300" s="1307"/>
      <c r="Z300" s="1307"/>
      <c r="AA300" s="1307"/>
      <c r="AI300" s="1307"/>
    </row>
    <row r="301" spans="1:35">
      <c r="A301" s="1307"/>
      <c r="C301" s="1307"/>
      <c r="D301" s="1307"/>
      <c r="W301" s="1307"/>
      <c r="Z301" s="1307"/>
      <c r="AA301" s="1307"/>
      <c r="AI301" s="1307"/>
    </row>
    <row r="302" spans="1:35">
      <c r="A302" s="1307"/>
      <c r="C302" s="1307"/>
      <c r="D302" s="1307"/>
      <c r="W302" s="1307"/>
      <c r="Z302" s="1307"/>
      <c r="AA302" s="1307"/>
      <c r="AI302" s="1307"/>
    </row>
    <row r="303" spans="1:35">
      <c r="A303" s="1307"/>
      <c r="C303" s="1307"/>
      <c r="D303" s="1307"/>
      <c r="W303" s="1307"/>
      <c r="Z303" s="1307"/>
      <c r="AA303" s="1307"/>
      <c r="AI303" s="1307"/>
    </row>
    <row r="304" spans="1:35">
      <c r="A304" s="1307"/>
      <c r="C304" s="1307"/>
      <c r="D304" s="1307"/>
      <c r="W304" s="1307"/>
      <c r="Z304" s="1307"/>
      <c r="AA304" s="1307"/>
      <c r="AI304" s="1307"/>
    </row>
    <row r="305" spans="1:35">
      <c r="A305" s="1307"/>
      <c r="C305" s="1307"/>
      <c r="D305" s="1307"/>
      <c r="W305" s="1307"/>
      <c r="Z305" s="1307"/>
      <c r="AA305" s="1307"/>
      <c r="AI305" s="1307"/>
    </row>
    <row r="306" spans="1:35">
      <c r="A306" s="1307"/>
      <c r="C306" s="1307"/>
      <c r="D306" s="1307"/>
      <c r="W306" s="1307"/>
      <c r="Z306" s="1307"/>
      <c r="AA306" s="1307"/>
      <c r="AI306" s="1307"/>
    </row>
    <row r="307" spans="1:35">
      <c r="A307" s="1307"/>
      <c r="C307" s="1307"/>
      <c r="D307" s="1307"/>
      <c r="W307" s="1307"/>
      <c r="Z307" s="1307"/>
      <c r="AA307" s="1307"/>
      <c r="AI307" s="1307"/>
    </row>
    <row r="308" spans="1:35">
      <c r="A308" s="1307"/>
      <c r="C308" s="1307"/>
      <c r="D308" s="1307"/>
      <c r="W308" s="1307"/>
      <c r="Z308" s="1307"/>
      <c r="AA308" s="1307"/>
      <c r="AI308" s="1307"/>
    </row>
    <row r="309" spans="1:35">
      <c r="A309" s="1307"/>
      <c r="C309" s="1307"/>
      <c r="D309" s="1307"/>
      <c r="W309" s="1307"/>
      <c r="Z309" s="1307"/>
      <c r="AA309" s="1307"/>
      <c r="AI309" s="1307"/>
    </row>
    <row r="310" spans="1:35">
      <c r="A310" s="1307"/>
      <c r="C310" s="1307"/>
      <c r="D310" s="1307"/>
      <c r="W310" s="1307"/>
      <c r="Z310" s="1307"/>
      <c r="AA310" s="1307"/>
      <c r="AI310" s="1307"/>
    </row>
    <row r="311" spans="1:35">
      <c r="A311" s="1307"/>
      <c r="C311" s="1307"/>
      <c r="D311" s="1307"/>
      <c r="W311" s="1307"/>
      <c r="Z311" s="1307"/>
      <c r="AA311" s="1307"/>
      <c r="AI311" s="1307"/>
    </row>
    <row r="312" spans="1:35">
      <c r="A312" s="1307"/>
      <c r="C312" s="1307"/>
      <c r="D312" s="1307"/>
      <c r="W312" s="1307"/>
      <c r="Z312" s="1307"/>
      <c r="AA312" s="1307"/>
      <c r="AI312" s="1307"/>
    </row>
    <row r="313" spans="1:35">
      <c r="A313" s="1307"/>
      <c r="C313" s="1307"/>
      <c r="D313" s="1307"/>
      <c r="W313" s="1307"/>
      <c r="Z313" s="1307"/>
      <c r="AA313" s="1307"/>
      <c r="AI313" s="1307"/>
    </row>
    <row r="314" spans="1:35">
      <c r="A314" s="1307"/>
      <c r="C314" s="1307"/>
      <c r="D314" s="1307"/>
      <c r="W314" s="1307"/>
      <c r="Z314" s="1307"/>
      <c r="AA314" s="1307"/>
      <c r="AI314" s="1307"/>
    </row>
    <row r="315" spans="1:35">
      <c r="A315" s="1307"/>
      <c r="C315" s="1307"/>
      <c r="D315" s="1307"/>
      <c r="W315" s="1307"/>
      <c r="Z315" s="1307"/>
      <c r="AA315" s="1307"/>
      <c r="AI315" s="1307"/>
    </row>
    <row r="316" spans="1:35">
      <c r="A316" s="1307"/>
      <c r="C316" s="1307"/>
      <c r="D316" s="1307"/>
      <c r="W316" s="1307"/>
      <c r="Z316" s="1307"/>
      <c r="AA316" s="1307"/>
      <c r="AI316" s="1307"/>
    </row>
    <row r="317" spans="1:35">
      <c r="A317" s="1307"/>
      <c r="C317" s="1307"/>
      <c r="D317" s="1307"/>
      <c r="W317" s="1307"/>
      <c r="Z317" s="1307"/>
      <c r="AA317" s="1307"/>
      <c r="AI317" s="1307"/>
    </row>
    <row r="318" spans="1:35">
      <c r="A318" s="1307"/>
      <c r="C318" s="1307"/>
      <c r="D318" s="1307"/>
      <c r="W318" s="1307"/>
      <c r="Z318" s="1307"/>
      <c r="AA318" s="1307"/>
      <c r="AI318" s="1307"/>
    </row>
    <row r="319" spans="1:35">
      <c r="A319" s="1307"/>
      <c r="C319" s="1307"/>
      <c r="D319" s="1307"/>
      <c r="W319" s="1307"/>
      <c r="Z319" s="1307"/>
      <c r="AA319" s="1307"/>
      <c r="AI319" s="1307"/>
    </row>
    <row r="320" spans="1:35">
      <c r="A320" s="1307"/>
      <c r="C320" s="1307"/>
      <c r="D320" s="1307"/>
      <c r="W320" s="1307"/>
      <c r="Z320" s="1307"/>
      <c r="AA320" s="1307"/>
      <c r="AI320" s="1307"/>
    </row>
    <row r="321" spans="1:35">
      <c r="A321" s="1307"/>
      <c r="C321" s="1307"/>
      <c r="D321" s="1307"/>
      <c r="W321" s="1307"/>
      <c r="Z321" s="1307"/>
      <c r="AA321" s="1307"/>
      <c r="AI321" s="1307"/>
    </row>
    <row r="322" spans="1:35">
      <c r="A322" s="1307"/>
      <c r="C322" s="1307"/>
      <c r="D322" s="1307"/>
      <c r="W322" s="1307"/>
      <c r="Z322" s="1307"/>
      <c r="AA322" s="1307"/>
      <c r="AI322" s="1307"/>
    </row>
    <row r="323" spans="1:35">
      <c r="A323" s="1307"/>
      <c r="C323" s="1307"/>
      <c r="D323" s="1307"/>
      <c r="W323" s="1307"/>
      <c r="Z323" s="1307"/>
      <c r="AA323" s="1307"/>
      <c r="AI323" s="1307"/>
    </row>
    <row r="324" spans="1:35">
      <c r="A324" s="1307"/>
      <c r="C324" s="1307"/>
      <c r="D324" s="1307"/>
      <c r="W324" s="1307"/>
      <c r="Z324" s="1307"/>
      <c r="AA324" s="1307"/>
      <c r="AI324" s="1307"/>
    </row>
    <row r="325" spans="1:35">
      <c r="A325" s="1307"/>
      <c r="C325" s="1307"/>
      <c r="D325" s="1307"/>
      <c r="W325" s="1307"/>
      <c r="Z325" s="1307"/>
      <c r="AA325" s="1307"/>
      <c r="AI325" s="1307"/>
    </row>
    <row r="326" spans="1:35">
      <c r="A326" s="1307"/>
      <c r="C326" s="1307"/>
      <c r="D326" s="1307"/>
      <c r="W326" s="1307"/>
      <c r="Z326" s="1307"/>
      <c r="AA326" s="1307"/>
      <c r="AI326" s="1307"/>
    </row>
    <row r="327" spans="1:35">
      <c r="A327" s="1307"/>
      <c r="C327" s="1307"/>
      <c r="D327" s="1307"/>
      <c r="W327" s="1307"/>
      <c r="Z327" s="1307"/>
      <c r="AA327" s="1307"/>
      <c r="AI327" s="1307"/>
    </row>
    <row r="328" spans="1:35">
      <c r="A328" s="1307"/>
      <c r="C328" s="1307"/>
      <c r="D328" s="1307"/>
      <c r="W328" s="1307"/>
      <c r="Z328" s="1307"/>
      <c r="AA328" s="1307"/>
      <c r="AI328" s="1307"/>
    </row>
    <row r="329" spans="1:35">
      <c r="A329" s="1307"/>
      <c r="C329" s="1307"/>
      <c r="D329" s="1307"/>
      <c r="W329" s="1307"/>
      <c r="Z329" s="1307"/>
      <c r="AA329" s="1307"/>
      <c r="AI329" s="1307"/>
    </row>
    <row r="330" spans="1:35">
      <c r="A330" s="1307"/>
      <c r="C330" s="1307"/>
      <c r="D330" s="1307"/>
      <c r="W330" s="1307"/>
      <c r="Z330" s="1307"/>
      <c r="AA330" s="1307"/>
      <c r="AI330" s="1307"/>
    </row>
    <row r="331" spans="1:35">
      <c r="A331" s="1307"/>
      <c r="C331" s="1307"/>
      <c r="D331" s="1307"/>
      <c r="W331" s="1307"/>
      <c r="Z331" s="1307"/>
      <c r="AA331" s="1307"/>
      <c r="AI331" s="1307"/>
    </row>
    <row r="332" spans="1:35">
      <c r="A332" s="1307"/>
      <c r="C332" s="1307"/>
      <c r="D332" s="1307"/>
      <c r="W332" s="1307"/>
      <c r="Z332" s="1307"/>
      <c r="AA332" s="1307"/>
      <c r="AI332" s="1307"/>
    </row>
    <row r="333" spans="1:35">
      <c r="A333" s="1307"/>
      <c r="C333" s="1307"/>
      <c r="D333" s="1307"/>
      <c r="W333" s="1307"/>
      <c r="Z333" s="1307"/>
      <c r="AA333" s="1307"/>
      <c r="AI333" s="1307"/>
    </row>
    <row r="334" spans="1:35">
      <c r="A334" s="1307"/>
      <c r="C334" s="1307"/>
      <c r="D334" s="1307"/>
      <c r="W334" s="1307"/>
      <c r="Z334" s="1307"/>
      <c r="AA334" s="1307"/>
      <c r="AI334" s="1307"/>
    </row>
    <row r="335" spans="1:35">
      <c r="A335" s="1307"/>
      <c r="C335" s="1307"/>
      <c r="D335" s="1307"/>
      <c r="W335" s="1307"/>
      <c r="Z335" s="1307"/>
      <c r="AA335" s="1307"/>
      <c r="AI335" s="1307"/>
    </row>
    <row r="336" spans="1:35">
      <c r="A336" s="1307"/>
      <c r="C336" s="1307"/>
      <c r="D336" s="1307"/>
      <c r="W336" s="1307"/>
      <c r="Z336" s="1307"/>
      <c r="AA336" s="1307"/>
      <c r="AI336" s="1307"/>
    </row>
    <row r="337" spans="1:35">
      <c r="A337" s="1307"/>
      <c r="C337" s="1307"/>
      <c r="D337" s="1307"/>
      <c r="W337" s="1307"/>
      <c r="Z337" s="1307"/>
      <c r="AA337" s="1307"/>
      <c r="AI337" s="1307"/>
    </row>
    <row r="338" spans="1:35">
      <c r="A338" s="1307"/>
      <c r="C338" s="1307"/>
      <c r="D338" s="1307"/>
      <c r="W338" s="1307"/>
      <c r="Z338" s="1307"/>
      <c r="AA338" s="1307"/>
      <c r="AI338" s="1307"/>
    </row>
    <row r="339" spans="1:35">
      <c r="A339" s="1307"/>
      <c r="C339" s="1307"/>
      <c r="D339" s="1307"/>
      <c r="W339" s="1307"/>
      <c r="Z339" s="1307"/>
      <c r="AA339" s="1307"/>
      <c r="AI339" s="1307"/>
    </row>
    <row r="340" spans="1:35">
      <c r="A340" s="1307"/>
      <c r="C340" s="1307"/>
      <c r="D340" s="1307"/>
      <c r="W340" s="1307"/>
      <c r="Z340" s="1307"/>
      <c r="AA340" s="1307"/>
      <c r="AI340" s="1307"/>
    </row>
    <row r="341" spans="1:35">
      <c r="A341" s="1307"/>
      <c r="C341" s="1307"/>
      <c r="D341" s="1307"/>
      <c r="W341" s="1307"/>
      <c r="Z341" s="1307"/>
      <c r="AA341" s="1307"/>
      <c r="AI341" s="1307"/>
    </row>
    <row r="342" spans="1:35">
      <c r="A342" s="1307"/>
      <c r="C342" s="1307"/>
      <c r="D342" s="1307"/>
      <c r="W342" s="1307"/>
      <c r="Z342" s="1307"/>
      <c r="AA342" s="1307"/>
      <c r="AI342" s="1307"/>
    </row>
    <row r="343" spans="1:35">
      <c r="A343" s="1307"/>
      <c r="C343" s="1307"/>
      <c r="D343" s="1307"/>
      <c r="W343" s="1307"/>
      <c r="Z343" s="1307"/>
      <c r="AA343" s="1307"/>
      <c r="AI343" s="1307"/>
    </row>
    <row r="344" spans="1:35">
      <c r="A344" s="1307"/>
      <c r="C344" s="1307"/>
      <c r="D344" s="1307"/>
      <c r="W344" s="1307"/>
      <c r="Z344" s="1307"/>
      <c r="AA344" s="1307"/>
      <c r="AI344" s="1307"/>
    </row>
    <row r="345" spans="1:35">
      <c r="A345" s="1307"/>
      <c r="C345" s="1307"/>
      <c r="D345" s="1307"/>
      <c r="W345" s="1307"/>
      <c r="Z345" s="1307"/>
      <c r="AA345" s="1307"/>
      <c r="AI345" s="1307"/>
    </row>
    <row r="346" spans="1:35">
      <c r="A346" s="1307"/>
      <c r="C346" s="1307"/>
      <c r="D346" s="1307"/>
      <c r="W346" s="1307"/>
      <c r="Z346" s="1307"/>
      <c r="AA346" s="1307"/>
      <c r="AI346" s="1307"/>
    </row>
    <row r="347" spans="1:35">
      <c r="A347" s="1307"/>
      <c r="C347" s="1307"/>
      <c r="D347" s="1307"/>
      <c r="W347" s="1307"/>
      <c r="Z347" s="1307"/>
      <c r="AA347" s="1307"/>
      <c r="AI347" s="1307"/>
    </row>
    <row r="348" spans="1:35">
      <c r="A348" s="1307"/>
      <c r="C348" s="1307"/>
      <c r="D348" s="1307"/>
      <c r="W348" s="1307"/>
      <c r="Z348" s="1307"/>
      <c r="AA348" s="1307"/>
      <c r="AI348" s="1307"/>
    </row>
    <row r="349" spans="1:35">
      <c r="A349" s="1307"/>
      <c r="C349" s="1307"/>
      <c r="D349" s="1307"/>
      <c r="W349" s="1307"/>
      <c r="Z349" s="1307"/>
      <c r="AA349" s="1307"/>
      <c r="AI349" s="1307"/>
    </row>
    <row r="350" spans="1:35">
      <c r="A350" s="1307"/>
      <c r="C350" s="1307"/>
      <c r="D350" s="1307"/>
      <c r="W350" s="1307"/>
      <c r="Z350" s="1307"/>
      <c r="AA350" s="1307"/>
      <c r="AI350" s="1307"/>
    </row>
    <row r="351" spans="1:35">
      <c r="A351" s="1307"/>
      <c r="C351" s="1307"/>
      <c r="D351" s="1307"/>
      <c r="W351" s="1307"/>
      <c r="Z351" s="1307"/>
      <c r="AA351" s="1307"/>
      <c r="AI351" s="1307"/>
    </row>
    <row r="352" spans="1:35">
      <c r="A352" s="1307"/>
      <c r="C352" s="1307"/>
      <c r="D352" s="1307"/>
      <c r="W352" s="1307"/>
      <c r="Z352" s="1307"/>
      <c r="AA352" s="1307"/>
      <c r="AI352" s="1307"/>
    </row>
    <row r="353" spans="1:35">
      <c r="A353" s="1307"/>
      <c r="C353" s="1307"/>
      <c r="D353" s="1307"/>
      <c r="W353" s="1307"/>
      <c r="Z353" s="1307"/>
      <c r="AA353" s="1307"/>
      <c r="AI353" s="1307"/>
    </row>
    <row r="354" spans="1:35">
      <c r="A354" s="1307"/>
      <c r="C354" s="1307"/>
      <c r="D354" s="1307"/>
      <c r="W354" s="1307"/>
      <c r="Z354" s="1307"/>
      <c r="AA354" s="1307"/>
      <c r="AI354" s="1307"/>
    </row>
    <row r="355" spans="1:35">
      <c r="A355" s="1307"/>
      <c r="C355" s="1307"/>
      <c r="D355" s="1307"/>
      <c r="W355" s="1307"/>
      <c r="Z355" s="1307"/>
      <c r="AA355" s="1307"/>
      <c r="AI355" s="1307"/>
    </row>
    <row r="356" spans="1:35">
      <c r="A356" s="1307"/>
      <c r="C356" s="1307"/>
      <c r="D356" s="1307"/>
      <c r="W356" s="1307"/>
      <c r="Z356" s="1307"/>
      <c r="AA356" s="1307"/>
      <c r="AI356" s="1307"/>
    </row>
    <row r="357" spans="1:35">
      <c r="A357" s="1307"/>
      <c r="C357" s="1307"/>
      <c r="D357" s="1307"/>
      <c r="W357" s="1307"/>
      <c r="Z357" s="1307"/>
      <c r="AA357" s="1307"/>
      <c r="AI357" s="1307"/>
    </row>
    <row r="358" spans="1:35">
      <c r="A358" s="1307"/>
      <c r="C358" s="1307"/>
      <c r="D358" s="1307"/>
      <c r="W358" s="1307"/>
      <c r="Z358" s="1307"/>
      <c r="AA358" s="1307"/>
      <c r="AI358" s="1307"/>
    </row>
    <row r="359" spans="1:35">
      <c r="A359" s="1307"/>
      <c r="C359" s="1307"/>
      <c r="D359" s="1307"/>
      <c r="W359" s="1307"/>
      <c r="Z359" s="1307"/>
      <c r="AA359" s="1307"/>
      <c r="AI359" s="1307"/>
    </row>
    <row r="360" spans="1:35">
      <c r="A360" s="1307"/>
      <c r="C360" s="1307"/>
      <c r="D360" s="1307"/>
      <c r="W360" s="1307"/>
      <c r="Z360" s="1307"/>
      <c r="AA360" s="1307"/>
      <c r="AI360" s="1307"/>
    </row>
    <row r="361" spans="1:35">
      <c r="A361" s="1307"/>
      <c r="C361" s="1307"/>
      <c r="D361" s="1307"/>
      <c r="W361" s="1307"/>
      <c r="Z361" s="1307"/>
      <c r="AA361" s="1307"/>
      <c r="AI361" s="1307"/>
    </row>
    <row r="362" spans="1:35">
      <c r="A362" s="1307"/>
      <c r="C362" s="1307"/>
      <c r="D362" s="1307"/>
      <c r="W362" s="1307"/>
      <c r="Z362" s="1307"/>
      <c r="AA362" s="1307"/>
      <c r="AI362" s="1307"/>
    </row>
    <row r="363" spans="1:35">
      <c r="A363" s="1307"/>
      <c r="C363" s="1307"/>
      <c r="D363" s="1307"/>
      <c r="W363" s="1307"/>
      <c r="Z363" s="1307"/>
      <c r="AA363" s="1307"/>
      <c r="AI363" s="1307"/>
    </row>
    <row r="364" spans="1:35">
      <c r="A364" s="1307"/>
      <c r="C364" s="1307"/>
      <c r="D364" s="1307"/>
      <c r="W364" s="1307"/>
      <c r="Z364" s="1307"/>
      <c r="AA364" s="1307"/>
      <c r="AI364" s="1307"/>
    </row>
    <row r="365" spans="1:35">
      <c r="A365" s="1307"/>
      <c r="C365" s="1307"/>
      <c r="D365" s="1307"/>
      <c r="W365" s="1307"/>
      <c r="Z365" s="1307"/>
      <c r="AA365" s="1307"/>
      <c r="AI365" s="1307"/>
    </row>
    <row r="366" spans="1:35">
      <c r="A366" s="1307"/>
      <c r="C366" s="1307"/>
      <c r="D366" s="1307"/>
      <c r="W366" s="1307"/>
      <c r="Z366" s="1307"/>
      <c r="AA366" s="1307"/>
      <c r="AI366" s="1307"/>
    </row>
    <row r="367" spans="1:35">
      <c r="A367" s="1307"/>
      <c r="C367" s="1307"/>
      <c r="D367" s="1307"/>
      <c r="W367" s="1307"/>
      <c r="Z367" s="1307"/>
      <c r="AA367" s="1307"/>
      <c r="AI367" s="1307"/>
    </row>
    <row r="368" spans="1:35">
      <c r="A368" s="1307"/>
      <c r="C368" s="1307"/>
      <c r="D368" s="1307"/>
      <c r="W368" s="1307"/>
      <c r="Z368" s="1307"/>
      <c r="AA368" s="1307"/>
      <c r="AI368" s="1307"/>
    </row>
    <row r="369" spans="1:35">
      <c r="A369" s="1307"/>
      <c r="C369" s="1307"/>
      <c r="D369" s="1307"/>
      <c r="W369" s="1307"/>
      <c r="Z369" s="1307"/>
      <c r="AA369" s="1307"/>
      <c r="AI369" s="1307"/>
    </row>
    <row r="370" spans="1:35">
      <c r="A370" s="1307"/>
      <c r="C370" s="1307"/>
      <c r="D370" s="1307"/>
      <c r="W370" s="1307"/>
      <c r="Z370" s="1307"/>
      <c r="AA370" s="1307"/>
      <c r="AI370" s="1307"/>
    </row>
    <row r="371" spans="1:35">
      <c r="A371" s="1307"/>
      <c r="C371" s="1307"/>
      <c r="D371" s="1307"/>
      <c r="W371" s="1307"/>
      <c r="Z371" s="1307"/>
      <c r="AA371" s="1307"/>
      <c r="AI371" s="1307"/>
    </row>
    <row r="372" spans="1:35">
      <c r="A372" s="1307"/>
      <c r="C372" s="1307"/>
      <c r="D372" s="1307"/>
      <c r="W372" s="1307"/>
      <c r="Z372" s="1307"/>
      <c r="AA372" s="1307"/>
      <c r="AI372" s="1307"/>
    </row>
    <row r="373" spans="1:35">
      <c r="A373" s="1307"/>
      <c r="C373" s="1307"/>
      <c r="D373" s="1307"/>
      <c r="W373" s="1307"/>
      <c r="Z373" s="1307"/>
      <c r="AA373" s="1307"/>
      <c r="AI373" s="1307"/>
    </row>
    <row r="374" spans="1:35">
      <c r="A374" s="1307"/>
      <c r="C374" s="1307"/>
      <c r="D374" s="1307"/>
      <c r="W374" s="1307"/>
      <c r="Z374" s="1307"/>
      <c r="AA374" s="1307"/>
      <c r="AI374" s="1307"/>
    </row>
    <row r="375" spans="1:35">
      <c r="A375" s="1307"/>
      <c r="C375" s="1307"/>
      <c r="D375" s="1307"/>
      <c r="W375" s="1307"/>
      <c r="Z375" s="1307"/>
      <c r="AA375" s="1307"/>
      <c r="AI375" s="1307"/>
    </row>
    <row r="376" spans="1:35">
      <c r="A376" s="1307"/>
      <c r="C376" s="1307"/>
      <c r="D376" s="1307"/>
      <c r="W376" s="1307"/>
      <c r="Z376" s="1307"/>
      <c r="AA376" s="1307"/>
      <c r="AI376" s="1307"/>
    </row>
    <row r="377" spans="1:35">
      <c r="A377" s="1307"/>
      <c r="C377" s="1307"/>
      <c r="D377" s="1307"/>
      <c r="W377" s="1307"/>
      <c r="Z377" s="1307"/>
      <c r="AA377" s="1307"/>
      <c r="AI377" s="1307"/>
    </row>
    <row r="378" spans="1:35">
      <c r="A378" s="1307"/>
      <c r="C378" s="1307"/>
      <c r="D378" s="1307"/>
      <c r="W378" s="1307"/>
      <c r="Z378" s="1307"/>
      <c r="AA378" s="1307"/>
      <c r="AI378" s="1307"/>
    </row>
    <row r="379" spans="1:35">
      <c r="A379" s="1307"/>
      <c r="C379" s="1307"/>
      <c r="D379" s="1307"/>
      <c r="W379" s="1307"/>
      <c r="Z379" s="1307"/>
      <c r="AA379" s="1307"/>
      <c r="AI379" s="1307"/>
    </row>
    <row r="380" spans="1:35">
      <c r="A380" s="1307"/>
      <c r="C380" s="1307"/>
      <c r="D380" s="1307"/>
      <c r="W380" s="1307"/>
      <c r="Z380" s="1307"/>
      <c r="AA380" s="1307"/>
      <c r="AI380" s="1307"/>
    </row>
    <row r="381" spans="1:35">
      <c r="A381" s="1307"/>
      <c r="C381" s="1307"/>
      <c r="D381" s="1307"/>
      <c r="W381" s="1307"/>
      <c r="Z381" s="1307"/>
      <c r="AA381" s="1307"/>
      <c r="AI381" s="1307"/>
    </row>
    <row r="382" spans="1:35">
      <c r="A382" s="1307"/>
      <c r="C382" s="1307"/>
      <c r="D382" s="1307"/>
      <c r="W382" s="1307"/>
      <c r="Z382" s="1307"/>
      <c r="AA382" s="1307"/>
      <c r="AI382" s="1307"/>
    </row>
    <row r="383" spans="1:35">
      <c r="A383" s="1307"/>
      <c r="C383" s="1307"/>
      <c r="D383" s="1307"/>
      <c r="W383" s="1307"/>
      <c r="Z383" s="1307"/>
      <c r="AA383" s="1307"/>
      <c r="AI383" s="1307"/>
    </row>
    <row r="384" spans="1:35">
      <c r="A384" s="1307"/>
      <c r="C384" s="1307"/>
      <c r="D384" s="1307"/>
      <c r="W384" s="1307"/>
      <c r="Z384" s="1307"/>
      <c r="AA384" s="1307"/>
      <c r="AI384" s="1307"/>
    </row>
    <row r="385" spans="1:35">
      <c r="A385" s="1307"/>
      <c r="C385" s="1307"/>
      <c r="D385" s="1307"/>
      <c r="W385" s="1307"/>
      <c r="Z385" s="1307"/>
      <c r="AA385" s="1307"/>
      <c r="AI385" s="1307"/>
    </row>
    <row r="386" spans="1:35">
      <c r="A386" s="1307"/>
      <c r="C386" s="1307"/>
      <c r="D386" s="1307"/>
      <c r="W386" s="1307"/>
      <c r="Z386" s="1307"/>
      <c r="AA386" s="1307"/>
      <c r="AI386" s="1307"/>
    </row>
    <row r="387" spans="1:35">
      <c r="A387" s="1307"/>
      <c r="C387" s="1307"/>
      <c r="D387" s="1307"/>
      <c r="W387" s="1307"/>
      <c r="Z387" s="1307"/>
      <c r="AA387" s="1307"/>
      <c r="AI387" s="1307"/>
    </row>
    <row r="388" spans="1:35">
      <c r="A388" s="1307"/>
      <c r="C388" s="1307"/>
      <c r="D388" s="1307"/>
      <c r="W388" s="1307"/>
      <c r="Z388" s="1307"/>
      <c r="AA388" s="1307"/>
      <c r="AI388" s="1307"/>
    </row>
    <row r="389" spans="1:35">
      <c r="A389" s="1307"/>
      <c r="C389" s="1307"/>
      <c r="D389" s="1307"/>
      <c r="W389" s="1307"/>
      <c r="Z389" s="1307"/>
      <c r="AA389" s="1307"/>
      <c r="AI389" s="1307"/>
    </row>
    <row r="390" spans="1:35">
      <c r="A390" s="1307"/>
      <c r="C390" s="1307"/>
      <c r="D390" s="1307"/>
      <c r="W390" s="1307"/>
      <c r="Z390" s="1307"/>
      <c r="AA390" s="1307"/>
      <c r="AI390" s="1307"/>
    </row>
    <row r="391" spans="1:35">
      <c r="A391" s="1307"/>
      <c r="C391" s="1307"/>
      <c r="D391" s="1307"/>
      <c r="W391" s="1307"/>
      <c r="Z391" s="1307"/>
      <c r="AA391" s="1307"/>
      <c r="AI391" s="1307"/>
    </row>
    <row r="392" spans="1:35">
      <c r="A392" s="1307"/>
      <c r="C392" s="1307"/>
      <c r="D392" s="1307"/>
      <c r="W392" s="1307"/>
      <c r="Z392" s="1307"/>
      <c r="AA392" s="1307"/>
      <c r="AI392" s="1307"/>
    </row>
    <row r="393" spans="1:35">
      <c r="A393" s="1307"/>
      <c r="C393" s="1307"/>
      <c r="D393" s="1307"/>
      <c r="W393" s="1307"/>
      <c r="Z393" s="1307"/>
      <c r="AA393" s="1307"/>
      <c r="AI393" s="1307"/>
    </row>
    <row r="394" spans="1:35">
      <c r="A394" s="1307"/>
      <c r="C394" s="1307"/>
      <c r="D394" s="1307"/>
      <c r="W394" s="1307"/>
      <c r="Z394" s="1307"/>
      <c r="AA394" s="1307"/>
      <c r="AI394" s="1307"/>
    </row>
    <row r="395" spans="1:35">
      <c r="A395" s="1307"/>
      <c r="C395" s="1307"/>
      <c r="D395" s="1307"/>
      <c r="W395" s="1307"/>
      <c r="Z395" s="1307"/>
      <c r="AA395" s="1307"/>
      <c r="AI395" s="1307"/>
    </row>
    <row r="396" spans="1:35">
      <c r="A396" s="1307"/>
      <c r="C396" s="1307"/>
      <c r="D396" s="1307"/>
      <c r="W396" s="1307"/>
      <c r="Z396" s="1307"/>
      <c r="AA396" s="1307"/>
      <c r="AI396" s="1307"/>
    </row>
    <row r="397" spans="1:35">
      <c r="A397" s="1307"/>
      <c r="C397" s="1307"/>
      <c r="D397" s="1307"/>
      <c r="W397" s="1307"/>
      <c r="Z397" s="1307"/>
      <c r="AA397" s="1307"/>
      <c r="AI397" s="1307"/>
    </row>
    <row r="398" spans="1:35">
      <c r="A398" s="1307"/>
      <c r="C398" s="1307"/>
      <c r="D398" s="1307"/>
      <c r="W398" s="1307"/>
      <c r="Z398" s="1307"/>
      <c r="AA398" s="1307"/>
      <c r="AI398" s="1307"/>
    </row>
    <row r="399" spans="1:35">
      <c r="A399" s="1307"/>
      <c r="C399" s="1307"/>
      <c r="D399" s="1307"/>
      <c r="W399" s="1307"/>
      <c r="Z399" s="1307"/>
      <c r="AA399" s="1307"/>
      <c r="AI399" s="1307"/>
    </row>
    <row r="400" spans="1:35">
      <c r="A400" s="1307"/>
      <c r="C400" s="1307"/>
      <c r="D400" s="1307"/>
      <c r="W400" s="1307"/>
      <c r="Z400" s="1307"/>
      <c r="AA400" s="1307"/>
      <c r="AI400" s="1307"/>
    </row>
    <row r="401" spans="1:35">
      <c r="A401" s="1307"/>
      <c r="C401" s="1307"/>
      <c r="D401" s="1307"/>
      <c r="W401" s="1307"/>
      <c r="Z401" s="1307"/>
      <c r="AA401" s="1307"/>
      <c r="AI401" s="1307"/>
    </row>
    <row r="402" spans="1:35">
      <c r="A402" s="1307"/>
      <c r="C402" s="1307"/>
      <c r="D402" s="1307"/>
      <c r="W402" s="1307"/>
      <c r="Z402" s="1307"/>
      <c r="AA402" s="1307"/>
      <c r="AI402" s="1307"/>
    </row>
    <row r="403" spans="1:35">
      <c r="A403" s="1307"/>
      <c r="C403" s="1307"/>
      <c r="D403" s="1307"/>
      <c r="W403" s="1307"/>
      <c r="Z403" s="1307"/>
      <c r="AA403" s="1307"/>
      <c r="AI403" s="1307"/>
    </row>
    <row r="404" spans="1:35">
      <c r="A404" s="1307"/>
      <c r="C404" s="1307"/>
      <c r="D404" s="1307"/>
      <c r="W404" s="1307"/>
      <c r="Z404" s="1307"/>
      <c r="AA404" s="1307"/>
      <c r="AI404" s="1307"/>
    </row>
    <row r="409" spans="1:35">
      <c r="A409" s="1307"/>
      <c r="C409" s="1307"/>
      <c r="D409" s="1307"/>
      <c r="W409" s="1307"/>
      <c r="Z409" s="1307"/>
      <c r="AA409" s="1307"/>
      <c r="AI409" s="1307"/>
    </row>
  </sheetData>
  <mergeCells count="27">
    <mergeCell ref="R7:U7"/>
    <mergeCell ref="V7:V8"/>
    <mergeCell ref="W7:AC7"/>
    <mergeCell ref="AD7:AD8"/>
    <mergeCell ref="AE7:AK7"/>
    <mergeCell ref="D5:K5"/>
    <mergeCell ref="L5:P6"/>
    <mergeCell ref="Q5:U6"/>
    <mergeCell ref="V5:AC6"/>
    <mergeCell ref="AD5:AK6"/>
    <mergeCell ref="F6:K6"/>
    <mergeCell ref="A2:AK2"/>
    <mergeCell ref="AI1:AK1"/>
    <mergeCell ref="AH4:AK4"/>
    <mergeCell ref="A1:D1"/>
    <mergeCell ref="Q7:Q8"/>
    <mergeCell ref="D6:D8"/>
    <mergeCell ref="E6:E8"/>
    <mergeCell ref="C5:C8"/>
    <mergeCell ref="A5:A8"/>
    <mergeCell ref="B5:B8"/>
    <mergeCell ref="F7:K7"/>
    <mergeCell ref="L7:L8"/>
    <mergeCell ref="M7:P7"/>
    <mergeCell ref="A3:AJ3"/>
    <mergeCell ref="V4:AB4"/>
    <mergeCell ref="AD4:AE4"/>
  </mergeCells>
  <printOptions horizontalCentered="1"/>
  <pageMargins left="0" right="0" top="0.87" bottom="0.44685039399999998" header="0.74803149606299202" footer="0.196850393700787"/>
  <pageSetup paperSize="8" scale="60" orientation="landscape"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
  <sheetViews>
    <sheetView workbookViewId="0"/>
  </sheetViews>
  <sheetFormatPr defaultRowHeight="1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tabColor rgb="FFFF0000"/>
  </sheetPr>
  <dimension ref="A1:R31"/>
  <sheetViews>
    <sheetView zoomScaleNormal="100" workbookViewId="0">
      <pane ySplit="4" topLeftCell="A5" activePane="bottomLeft" state="frozen"/>
      <selection pane="bottomLeft" activeCell="P33" sqref="P33"/>
    </sheetView>
  </sheetViews>
  <sheetFormatPr defaultRowHeight="15"/>
  <cols>
    <col min="1" max="1" width="5.85546875" style="44" customWidth="1"/>
    <col min="2" max="2" width="29.42578125" style="44" customWidth="1"/>
    <col min="3" max="8" width="14" style="44" customWidth="1"/>
    <col min="9" max="9" width="9.28515625" style="1113" customWidth="1"/>
    <col min="10" max="10" width="12.28515625" style="44" customWidth="1"/>
    <col min="11" max="11" width="13.28515625" style="44" customWidth="1"/>
    <col min="12" max="12" width="11.7109375" style="44" hidden="1" customWidth="1"/>
    <col min="13" max="13" width="10.42578125" style="44" hidden="1" customWidth="1"/>
    <col min="14" max="15" width="11.7109375" style="44" hidden="1" customWidth="1"/>
    <col min="16" max="16" width="15.85546875" style="44" customWidth="1"/>
    <col min="17" max="17" width="12.85546875" style="44" customWidth="1"/>
    <col min="18" max="18" width="12.140625" style="44" customWidth="1"/>
    <col min="19" max="256" width="9.140625" style="44"/>
    <col min="257" max="257" width="5.85546875" style="44" customWidth="1"/>
    <col min="258" max="258" width="25.42578125" style="44" customWidth="1"/>
    <col min="259" max="259" width="12.5703125" style="44" customWidth="1"/>
    <col min="260" max="260" width="13.42578125" style="44" customWidth="1"/>
    <col min="261" max="261" width="8.42578125" style="44" customWidth="1"/>
    <col min="262" max="262" width="12.5703125" style="44" customWidth="1"/>
    <col min="263" max="263" width="10.7109375" style="44" customWidth="1"/>
    <col min="264" max="264" width="11.7109375" style="44" customWidth="1"/>
    <col min="265" max="265" width="10" style="44" customWidth="1"/>
    <col min="266" max="266" width="11.28515625" style="44" customWidth="1"/>
    <col min="267" max="272" width="11.7109375" style="44" customWidth="1"/>
    <col min="273" max="273" width="12.85546875" style="44" customWidth="1"/>
    <col min="274" max="274" width="12.140625" style="44" customWidth="1"/>
    <col min="275" max="512" width="9.140625" style="44"/>
    <col min="513" max="513" width="5.85546875" style="44" customWidth="1"/>
    <col min="514" max="514" width="25.42578125" style="44" customWidth="1"/>
    <col min="515" max="515" width="12.5703125" style="44" customWidth="1"/>
    <col min="516" max="516" width="13.42578125" style="44" customWidth="1"/>
    <col min="517" max="517" width="8.42578125" style="44" customWidth="1"/>
    <col min="518" max="518" width="12.5703125" style="44" customWidth="1"/>
    <col min="519" max="519" width="10.7109375" style="44" customWidth="1"/>
    <col min="520" max="520" width="11.7109375" style="44" customWidth="1"/>
    <col min="521" max="521" width="10" style="44" customWidth="1"/>
    <col min="522" max="522" width="11.28515625" style="44" customWidth="1"/>
    <col min="523" max="528" width="11.7109375" style="44" customWidth="1"/>
    <col min="529" max="529" width="12.85546875" style="44" customWidth="1"/>
    <col min="530" max="530" width="12.140625" style="44" customWidth="1"/>
    <col min="531" max="768" width="9.140625" style="44"/>
    <col min="769" max="769" width="5.85546875" style="44" customWidth="1"/>
    <col min="770" max="770" width="25.42578125" style="44" customWidth="1"/>
    <col min="771" max="771" width="12.5703125" style="44" customWidth="1"/>
    <col min="772" max="772" width="13.42578125" style="44" customWidth="1"/>
    <col min="773" max="773" width="8.42578125" style="44" customWidth="1"/>
    <col min="774" max="774" width="12.5703125" style="44" customWidth="1"/>
    <col min="775" max="775" width="10.7109375" style="44" customWidth="1"/>
    <col min="776" max="776" width="11.7109375" style="44" customWidth="1"/>
    <col min="777" max="777" width="10" style="44" customWidth="1"/>
    <col min="778" max="778" width="11.28515625" style="44" customWidth="1"/>
    <col min="779" max="784" width="11.7109375" style="44" customWidth="1"/>
    <col min="785" max="785" width="12.85546875" style="44" customWidth="1"/>
    <col min="786" max="786" width="12.140625" style="44" customWidth="1"/>
    <col min="787" max="1024" width="9.140625" style="44"/>
    <col min="1025" max="1025" width="5.85546875" style="44" customWidth="1"/>
    <col min="1026" max="1026" width="25.42578125" style="44" customWidth="1"/>
    <col min="1027" max="1027" width="12.5703125" style="44" customWidth="1"/>
    <col min="1028" max="1028" width="13.42578125" style="44" customWidth="1"/>
    <col min="1029" max="1029" width="8.42578125" style="44" customWidth="1"/>
    <col min="1030" max="1030" width="12.5703125" style="44" customWidth="1"/>
    <col min="1031" max="1031" width="10.7109375" style="44" customWidth="1"/>
    <col min="1032" max="1032" width="11.7109375" style="44" customWidth="1"/>
    <col min="1033" max="1033" width="10" style="44" customWidth="1"/>
    <col min="1034" max="1034" width="11.28515625" style="44" customWidth="1"/>
    <col min="1035" max="1040" width="11.7109375" style="44" customWidth="1"/>
    <col min="1041" max="1041" width="12.85546875" style="44" customWidth="1"/>
    <col min="1042" max="1042" width="12.140625" style="44" customWidth="1"/>
    <col min="1043" max="1280" width="9.140625" style="44"/>
    <col min="1281" max="1281" width="5.85546875" style="44" customWidth="1"/>
    <col min="1282" max="1282" width="25.42578125" style="44" customWidth="1"/>
    <col min="1283" max="1283" width="12.5703125" style="44" customWidth="1"/>
    <col min="1284" max="1284" width="13.42578125" style="44" customWidth="1"/>
    <col min="1285" max="1285" width="8.42578125" style="44" customWidth="1"/>
    <col min="1286" max="1286" width="12.5703125" style="44" customWidth="1"/>
    <col min="1287" max="1287" width="10.7109375" style="44" customWidth="1"/>
    <col min="1288" max="1288" width="11.7109375" style="44" customWidth="1"/>
    <col min="1289" max="1289" width="10" style="44" customWidth="1"/>
    <col min="1290" max="1290" width="11.28515625" style="44" customWidth="1"/>
    <col min="1291" max="1296" width="11.7109375" style="44" customWidth="1"/>
    <col min="1297" max="1297" width="12.85546875" style="44" customWidth="1"/>
    <col min="1298" max="1298" width="12.140625" style="44" customWidth="1"/>
    <col min="1299" max="1536" width="9.140625" style="44"/>
    <col min="1537" max="1537" width="5.85546875" style="44" customWidth="1"/>
    <col min="1538" max="1538" width="25.42578125" style="44" customWidth="1"/>
    <col min="1539" max="1539" width="12.5703125" style="44" customWidth="1"/>
    <col min="1540" max="1540" width="13.42578125" style="44" customWidth="1"/>
    <col min="1541" max="1541" width="8.42578125" style="44" customWidth="1"/>
    <col min="1542" max="1542" width="12.5703125" style="44" customWidth="1"/>
    <col min="1543" max="1543" width="10.7109375" style="44" customWidth="1"/>
    <col min="1544" max="1544" width="11.7109375" style="44" customWidth="1"/>
    <col min="1545" max="1545" width="10" style="44" customWidth="1"/>
    <col min="1546" max="1546" width="11.28515625" style="44" customWidth="1"/>
    <col min="1547" max="1552" width="11.7109375" style="44" customWidth="1"/>
    <col min="1553" max="1553" width="12.85546875" style="44" customWidth="1"/>
    <col min="1554" max="1554" width="12.140625" style="44" customWidth="1"/>
    <col min="1555" max="1792" width="9.140625" style="44"/>
    <col min="1793" max="1793" width="5.85546875" style="44" customWidth="1"/>
    <col min="1794" max="1794" width="25.42578125" style="44" customWidth="1"/>
    <col min="1795" max="1795" width="12.5703125" style="44" customWidth="1"/>
    <col min="1796" max="1796" width="13.42578125" style="44" customWidth="1"/>
    <col min="1797" max="1797" width="8.42578125" style="44" customWidth="1"/>
    <col min="1798" max="1798" width="12.5703125" style="44" customWidth="1"/>
    <col min="1799" max="1799" width="10.7109375" style="44" customWidth="1"/>
    <col min="1800" max="1800" width="11.7109375" style="44" customWidth="1"/>
    <col min="1801" max="1801" width="10" style="44" customWidth="1"/>
    <col min="1802" max="1802" width="11.28515625" style="44" customWidth="1"/>
    <col min="1803" max="1808" width="11.7109375" style="44" customWidth="1"/>
    <col min="1809" max="1809" width="12.85546875" style="44" customWidth="1"/>
    <col min="1810" max="1810" width="12.140625" style="44" customWidth="1"/>
    <col min="1811" max="2048" width="9.140625" style="44"/>
    <col min="2049" max="2049" width="5.85546875" style="44" customWidth="1"/>
    <col min="2050" max="2050" width="25.42578125" style="44" customWidth="1"/>
    <col min="2051" max="2051" width="12.5703125" style="44" customWidth="1"/>
    <col min="2052" max="2052" width="13.42578125" style="44" customWidth="1"/>
    <col min="2053" max="2053" width="8.42578125" style="44" customWidth="1"/>
    <col min="2054" max="2054" width="12.5703125" style="44" customWidth="1"/>
    <col min="2055" max="2055" width="10.7109375" style="44" customWidth="1"/>
    <col min="2056" max="2056" width="11.7109375" style="44" customWidth="1"/>
    <col min="2057" max="2057" width="10" style="44" customWidth="1"/>
    <col min="2058" max="2058" width="11.28515625" style="44" customWidth="1"/>
    <col min="2059" max="2064" width="11.7109375" style="44" customWidth="1"/>
    <col min="2065" max="2065" width="12.85546875" style="44" customWidth="1"/>
    <col min="2066" max="2066" width="12.140625" style="44" customWidth="1"/>
    <col min="2067" max="2304" width="9.140625" style="44"/>
    <col min="2305" max="2305" width="5.85546875" style="44" customWidth="1"/>
    <col min="2306" max="2306" width="25.42578125" style="44" customWidth="1"/>
    <col min="2307" max="2307" width="12.5703125" style="44" customWidth="1"/>
    <col min="2308" max="2308" width="13.42578125" style="44" customWidth="1"/>
    <col min="2309" max="2309" width="8.42578125" style="44" customWidth="1"/>
    <col min="2310" max="2310" width="12.5703125" style="44" customWidth="1"/>
    <col min="2311" max="2311" width="10.7109375" style="44" customWidth="1"/>
    <col min="2312" max="2312" width="11.7109375" style="44" customWidth="1"/>
    <col min="2313" max="2313" width="10" style="44" customWidth="1"/>
    <col min="2314" max="2314" width="11.28515625" style="44" customWidth="1"/>
    <col min="2315" max="2320" width="11.7109375" style="44" customWidth="1"/>
    <col min="2321" max="2321" width="12.85546875" style="44" customWidth="1"/>
    <col min="2322" max="2322" width="12.140625" style="44" customWidth="1"/>
    <col min="2323" max="2560" width="9.140625" style="44"/>
    <col min="2561" max="2561" width="5.85546875" style="44" customWidth="1"/>
    <col min="2562" max="2562" width="25.42578125" style="44" customWidth="1"/>
    <col min="2563" max="2563" width="12.5703125" style="44" customWidth="1"/>
    <col min="2564" max="2564" width="13.42578125" style="44" customWidth="1"/>
    <col min="2565" max="2565" width="8.42578125" style="44" customWidth="1"/>
    <col min="2566" max="2566" width="12.5703125" style="44" customWidth="1"/>
    <col min="2567" max="2567" width="10.7109375" style="44" customWidth="1"/>
    <col min="2568" max="2568" width="11.7109375" style="44" customWidth="1"/>
    <col min="2569" max="2569" width="10" style="44" customWidth="1"/>
    <col min="2570" max="2570" width="11.28515625" style="44" customWidth="1"/>
    <col min="2571" max="2576" width="11.7109375" style="44" customWidth="1"/>
    <col min="2577" max="2577" width="12.85546875" style="44" customWidth="1"/>
    <col min="2578" max="2578" width="12.140625" style="44" customWidth="1"/>
    <col min="2579" max="2816" width="9.140625" style="44"/>
    <col min="2817" max="2817" width="5.85546875" style="44" customWidth="1"/>
    <col min="2818" max="2818" width="25.42578125" style="44" customWidth="1"/>
    <col min="2819" max="2819" width="12.5703125" style="44" customWidth="1"/>
    <col min="2820" max="2820" width="13.42578125" style="44" customWidth="1"/>
    <col min="2821" max="2821" width="8.42578125" style="44" customWidth="1"/>
    <col min="2822" max="2822" width="12.5703125" style="44" customWidth="1"/>
    <col min="2823" max="2823" width="10.7109375" style="44" customWidth="1"/>
    <col min="2824" max="2824" width="11.7109375" style="44" customWidth="1"/>
    <col min="2825" max="2825" width="10" style="44" customWidth="1"/>
    <col min="2826" max="2826" width="11.28515625" style="44" customWidth="1"/>
    <col min="2827" max="2832" width="11.7109375" style="44" customWidth="1"/>
    <col min="2833" max="2833" width="12.85546875" style="44" customWidth="1"/>
    <col min="2834" max="2834" width="12.140625" style="44" customWidth="1"/>
    <col min="2835" max="3072" width="9.140625" style="44"/>
    <col min="3073" max="3073" width="5.85546875" style="44" customWidth="1"/>
    <col min="3074" max="3074" width="25.42578125" style="44" customWidth="1"/>
    <col min="3075" max="3075" width="12.5703125" style="44" customWidth="1"/>
    <col min="3076" max="3076" width="13.42578125" style="44" customWidth="1"/>
    <col min="3077" max="3077" width="8.42578125" style="44" customWidth="1"/>
    <col min="3078" max="3078" width="12.5703125" style="44" customWidth="1"/>
    <col min="3079" max="3079" width="10.7109375" style="44" customWidth="1"/>
    <col min="3080" max="3080" width="11.7109375" style="44" customWidth="1"/>
    <col min="3081" max="3081" width="10" style="44" customWidth="1"/>
    <col min="3082" max="3082" width="11.28515625" style="44" customWidth="1"/>
    <col min="3083" max="3088" width="11.7109375" style="44" customWidth="1"/>
    <col min="3089" max="3089" width="12.85546875" style="44" customWidth="1"/>
    <col min="3090" max="3090" width="12.140625" style="44" customWidth="1"/>
    <col min="3091" max="3328" width="9.140625" style="44"/>
    <col min="3329" max="3329" width="5.85546875" style="44" customWidth="1"/>
    <col min="3330" max="3330" width="25.42578125" style="44" customWidth="1"/>
    <col min="3331" max="3331" width="12.5703125" style="44" customWidth="1"/>
    <col min="3332" max="3332" width="13.42578125" style="44" customWidth="1"/>
    <col min="3333" max="3333" width="8.42578125" style="44" customWidth="1"/>
    <col min="3334" max="3334" width="12.5703125" style="44" customWidth="1"/>
    <col min="3335" max="3335" width="10.7109375" style="44" customWidth="1"/>
    <col min="3336" max="3336" width="11.7109375" style="44" customWidth="1"/>
    <col min="3337" max="3337" width="10" style="44" customWidth="1"/>
    <col min="3338" max="3338" width="11.28515625" style="44" customWidth="1"/>
    <col min="3339" max="3344" width="11.7109375" style="44" customWidth="1"/>
    <col min="3345" max="3345" width="12.85546875" style="44" customWidth="1"/>
    <col min="3346" max="3346" width="12.140625" style="44" customWidth="1"/>
    <col min="3347" max="3584" width="9.140625" style="44"/>
    <col min="3585" max="3585" width="5.85546875" style="44" customWidth="1"/>
    <col min="3586" max="3586" width="25.42578125" style="44" customWidth="1"/>
    <col min="3587" max="3587" width="12.5703125" style="44" customWidth="1"/>
    <col min="3588" max="3588" width="13.42578125" style="44" customWidth="1"/>
    <col min="3589" max="3589" width="8.42578125" style="44" customWidth="1"/>
    <col min="3590" max="3590" width="12.5703125" style="44" customWidth="1"/>
    <col min="3591" max="3591" width="10.7109375" style="44" customWidth="1"/>
    <col min="3592" max="3592" width="11.7109375" style="44" customWidth="1"/>
    <col min="3593" max="3593" width="10" style="44" customWidth="1"/>
    <col min="3594" max="3594" width="11.28515625" style="44" customWidth="1"/>
    <col min="3595" max="3600" width="11.7109375" style="44" customWidth="1"/>
    <col min="3601" max="3601" width="12.85546875" style="44" customWidth="1"/>
    <col min="3602" max="3602" width="12.140625" style="44" customWidth="1"/>
    <col min="3603" max="3840" width="9.140625" style="44"/>
    <col min="3841" max="3841" width="5.85546875" style="44" customWidth="1"/>
    <col min="3842" max="3842" width="25.42578125" style="44" customWidth="1"/>
    <col min="3843" max="3843" width="12.5703125" style="44" customWidth="1"/>
    <col min="3844" max="3844" width="13.42578125" style="44" customWidth="1"/>
    <col min="3845" max="3845" width="8.42578125" style="44" customWidth="1"/>
    <col min="3846" max="3846" width="12.5703125" style="44" customWidth="1"/>
    <col min="3847" max="3847" width="10.7109375" style="44" customWidth="1"/>
    <col min="3848" max="3848" width="11.7109375" style="44" customWidth="1"/>
    <col min="3849" max="3849" width="10" style="44" customWidth="1"/>
    <col min="3850" max="3850" width="11.28515625" style="44" customWidth="1"/>
    <col min="3851" max="3856" width="11.7109375" style="44" customWidth="1"/>
    <col min="3857" max="3857" width="12.85546875" style="44" customWidth="1"/>
    <col min="3858" max="3858" width="12.140625" style="44" customWidth="1"/>
    <col min="3859" max="4096" width="9.140625" style="44"/>
    <col min="4097" max="4097" width="5.85546875" style="44" customWidth="1"/>
    <col min="4098" max="4098" width="25.42578125" style="44" customWidth="1"/>
    <col min="4099" max="4099" width="12.5703125" style="44" customWidth="1"/>
    <col min="4100" max="4100" width="13.42578125" style="44" customWidth="1"/>
    <col min="4101" max="4101" width="8.42578125" style="44" customWidth="1"/>
    <col min="4102" max="4102" width="12.5703125" style="44" customWidth="1"/>
    <col min="4103" max="4103" width="10.7109375" style="44" customWidth="1"/>
    <col min="4104" max="4104" width="11.7109375" style="44" customWidth="1"/>
    <col min="4105" max="4105" width="10" style="44" customWidth="1"/>
    <col min="4106" max="4106" width="11.28515625" style="44" customWidth="1"/>
    <col min="4107" max="4112" width="11.7109375" style="44" customWidth="1"/>
    <col min="4113" max="4113" width="12.85546875" style="44" customWidth="1"/>
    <col min="4114" max="4114" width="12.140625" style="44" customWidth="1"/>
    <col min="4115" max="4352" width="9.140625" style="44"/>
    <col min="4353" max="4353" width="5.85546875" style="44" customWidth="1"/>
    <col min="4354" max="4354" width="25.42578125" style="44" customWidth="1"/>
    <col min="4355" max="4355" width="12.5703125" style="44" customWidth="1"/>
    <col min="4356" max="4356" width="13.42578125" style="44" customWidth="1"/>
    <col min="4357" max="4357" width="8.42578125" style="44" customWidth="1"/>
    <col min="4358" max="4358" width="12.5703125" style="44" customWidth="1"/>
    <col min="4359" max="4359" width="10.7109375" style="44" customWidth="1"/>
    <col min="4360" max="4360" width="11.7109375" style="44" customWidth="1"/>
    <col min="4361" max="4361" width="10" style="44" customWidth="1"/>
    <col min="4362" max="4362" width="11.28515625" style="44" customWidth="1"/>
    <col min="4363" max="4368" width="11.7109375" style="44" customWidth="1"/>
    <col min="4369" max="4369" width="12.85546875" style="44" customWidth="1"/>
    <col min="4370" max="4370" width="12.140625" style="44" customWidth="1"/>
    <col min="4371" max="4608" width="9.140625" style="44"/>
    <col min="4609" max="4609" width="5.85546875" style="44" customWidth="1"/>
    <col min="4610" max="4610" width="25.42578125" style="44" customWidth="1"/>
    <col min="4611" max="4611" width="12.5703125" style="44" customWidth="1"/>
    <col min="4612" max="4612" width="13.42578125" style="44" customWidth="1"/>
    <col min="4613" max="4613" width="8.42578125" style="44" customWidth="1"/>
    <col min="4614" max="4614" width="12.5703125" style="44" customWidth="1"/>
    <col min="4615" max="4615" width="10.7109375" style="44" customWidth="1"/>
    <col min="4616" max="4616" width="11.7109375" style="44" customWidth="1"/>
    <col min="4617" max="4617" width="10" style="44" customWidth="1"/>
    <col min="4618" max="4618" width="11.28515625" style="44" customWidth="1"/>
    <col min="4619" max="4624" width="11.7109375" style="44" customWidth="1"/>
    <col min="4625" max="4625" width="12.85546875" style="44" customWidth="1"/>
    <col min="4626" max="4626" width="12.140625" style="44" customWidth="1"/>
    <col min="4627" max="4864" width="9.140625" style="44"/>
    <col min="4865" max="4865" width="5.85546875" style="44" customWidth="1"/>
    <col min="4866" max="4866" width="25.42578125" style="44" customWidth="1"/>
    <col min="4867" max="4867" width="12.5703125" style="44" customWidth="1"/>
    <col min="4868" max="4868" width="13.42578125" style="44" customWidth="1"/>
    <col min="4869" max="4869" width="8.42578125" style="44" customWidth="1"/>
    <col min="4870" max="4870" width="12.5703125" style="44" customWidth="1"/>
    <col min="4871" max="4871" width="10.7109375" style="44" customWidth="1"/>
    <col min="4872" max="4872" width="11.7109375" style="44" customWidth="1"/>
    <col min="4873" max="4873" width="10" style="44" customWidth="1"/>
    <col min="4874" max="4874" width="11.28515625" style="44" customWidth="1"/>
    <col min="4875" max="4880" width="11.7109375" style="44" customWidth="1"/>
    <col min="4881" max="4881" width="12.85546875" style="44" customWidth="1"/>
    <col min="4882" max="4882" width="12.140625" style="44" customWidth="1"/>
    <col min="4883" max="5120" width="9.140625" style="44"/>
    <col min="5121" max="5121" width="5.85546875" style="44" customWidth="1"/>
    <col min="5122" max="5122" width="25.42578125" style="44" customWidth="1"/>
    <col min="5123" max="5123" width="12.5703125" style="44" customWidth="1"/>
    <col min="5124" max="5124" width="13.42578125" style="44" customWidth="1"/>
    <col min="5125" max="5125" width="8.42578125" style="44" customWidth="1"/>
    <col min="5126" max="5126" width="12.5703125" style="44" customWidth="1"/>
    <col min="5127" max="5127" width="10.7109375" style="44" customWidth="1"/>
    <col min="5128" max="5128" width="11.7109375" style="44" customWidth="1"/>
    <col min="5129" max="5129" width="10" style="44" customWidth="1"/>
    <col min="5130" max="5130" width="11.28515625" style="44" customWidth="1"/>
    <col min="5131" max="5136" width="11.7109375" style="44" customWidth="1"/>
    <col min="5137" max="5137" width="12.85546875" style="44" customWidth="1"/>
    <col min="5138" max="5138" width="12.140625" style="44" customWidth="1"/>
    <col min="5139" max="5376" width="9.140625" style="44"/>
    <col min="5377" max="5377" width="5.85546875" style="44" customWidth="1"/>
    <col min="5378" max="5378" width="25.42578125" style="44" customWidth="1"/>
    <col min="5379" max="5379" width="12.5703125" style="44" customWidth="1"/>
    <col min="5380" max="5380" width="13.42578125" style="44" customWidth="1"/>
    <col min="5381" max="5381" width="8.42578125" style="44" customWidth="1"/>
    <col min="5382" max="5382" width="12.5703125" style="44" customWidth="1"/>
    <col min="5383" max="5383" width="10.7109375" style="44" customWidth="1"/>
    <col min="5384" max="5384" width="11.7109375" style="44" customWidth="1"/>
    <col min="5385" max="5385" width="10" style="44" customWidth="1"/>
    <col min="5386" max="5386" width="11.28515625" style="44" customWidth="1"/>
    <col min="5387" max="5392" width="11.7109375" style="44" customWidth="1"/>
    <col min="5393" max="5393" width="12.85546875" style="44" customWidth="1"/>
    <col min="5394" max="5394" width="12.140625" style="44" customWidth="1"/>
    <col min="5395" max="5632" width="9.140625" style="44"/>
    <col min="5633" max="5633" width="5.85546875" style="44" customWidth="1"/>
    <col min="5634" max="5634" width="25.42578125" style="44" customWidth="1"/>
    <col min="5635" max="5635" width="12.5703125" style="44" customWidth="1"/>
    <col min="5636" max="5636" width="13.42578125" style="44" customWidth="1"/>
    <col min="5637" max="5637" width="8.42578125" style="44" customWidth="1"/>
    <col min="5638" max="5638" width="12.5703125" style="44" customWidth="1"/>
    <col min="5639" max="5639" width="10.7109375" style="44" customWidth="1"/>
    <col min="5640" max="5640" width="11.7109375" style="44" customWidth="1"/>
    <col min="5641" max="5641" width="10" style="44" customWidth="1"/>
    <col min="5642" max="5642" width="11.28515625" style="44" customWidth="1"/>
    <col min="5643" max="5648" width="11.7109375" style="44" customWidth="1"/>
    <col min="5649" max="5649" width="12.85546875" style="44" customWidth="1"/>
    <col min="5650" max="5650" width="12.140625" style="44" customWidth="1"/>
    <col min="5651" max="5888" width="9.140625" style="44"/>
    <col min="5889" max="5889" width="5.85546875" style="44" customWidth="1"/>
    <col min="5890" max="5890" width="25.42578125" style="44" customWidth="1"/>
    <col min="5891" max="5891" width="12.5703125" style="44" customWidth="1"/>
    <col min="5892" max="5892" width="13.42578125" style="44" customWidth="1"/>
    <col min="5893" max="5893" width="8.42578125" style="44" customWidth="1"/>
    <col min="5894" max="5894" width="12.5703125" style="44" customWidth="1"/>
    <col min="5895" max="5895" width="10.7109375" style="44" customWidth="1"/>
    <col min="5896" max="5896" width="11.7109375" style="44" customWidth="1"/>
    <col min="5897" max="5897" width="10" style="44" customWidth="1"/>
    <col min="5898" max="5898" width="11.28515625" style="44" customWidth="1"/>
    <col min="5899" max="5904" width="11.7109375" style="44" customWidth="1"/>
    <col min="5905" max="5905" width="12.85546875" style="44" customWidth="1"/>
    <col min="5906" max="5906" width="12.140625" style="44" customWidth="1"/>
    <col min="5907" max="6144" width="9.140625" style="44"/>
    <col min="6145" max="6145" width="5.85546875" style="44" customWidth="1"/>
    <col min="6146" max="6146" width="25.42578125" style="44" customWidth="1"/>
    <col min="6147" max="6147" width="12.5703125" style="44" customWidth="1"/>
    <col min="6148" max="6148" width="13.42578125" style="44" customWidth="1"/>
    <col min="6149" max="6149" width="8.42578125" style="44" customWidth="1"/>
    <col min="6150" max="6150" width="12.5703125" style="44" customWidth="1"/>
    <col min="6151" max="6151" width="10.7109375" style="44" customWidth="1"/>
    <col min="6152" max="6152" width="11.7109375" style="44" customWidth="1"/>
    <col min="6153" max="6153" width="10" style="44" customWidth="1"/>
    <col min="6154" max="6154" width="11.28515625" style="44" customWidth="1"/>
    <col min="6155" max="6160" width="11.7109375" style="44" customWidth="1"/>
    <col min="6161" max="6161" width="12.85546875" style="44" customWidth="1"/>
    <col min="6162" max="6162" width="12.140625" style="44" customWidth="1"/>
    <col min="6163" max="6400" width="9.140625" style="44"/>
    <col min="6401" max="6401" width="5.85546875" style="44" customWidth="1"/>
    <col min="6402" max="6402" width="25.42578125" style="44" customWidth="1"/>
    <col min="6403" max="6403" width="12.5703125" style="44" customWidth="1"/>
    <col min="6404" max="6404" width="13.42578125" style="44" customWidth="1"/>
    <col min="6405" max="6405" width="8.42578125" style="44" customWidth="1"/>
    <col min="6406" max="6406" width="12.5703125" style="44" customWidth="1"/>
    <col min="6407" max="6407" width="10.7109375" style="44" customWidth="1"/>
    <col min="6408" max="6408" width="11.7109375" style="44" customWidth="1"/>
    <col min="6409" max="6409" width="10" style="44" customWidth="1"/>
    <col min="6410" max="6410" width="11.28515625" style="44" customWidth="1"/>
    <col min="6411" max="6416" width="11.7109375" style="44" customWidth="1"/>
    <col min="6417" max="6417" width="12.85546875" style="44" customWidth="1"/>
    <col min="6418" max="6418" width="12.140625" style="44" customWidth="1"/>
    <col min="6419" max="6656" width="9.140625" style="44"/>
    <col min="6657" max="6657" width="5.85546875" style="44" customWidth="1"/>
    <col min="6658" max="6658" width="25.42578125" style="44" customWidth="1"/>
    <col min="6659" max="6659" width="12.5703125" style="44" customWidth="1"/>
    <col min="6660" max="6660" width="13.42578125" style="44" customWidth="1"/>
    <col min="6661" max="6661" width="8.42578125" style="44" customWidth="1"/>
    <col min="6662" max="6662" width="12.5703125" style="44" customWidth="1"/>
    <col min="6663" max="6663" width="10.7109375" style="44" customWidth="1"/>
    <col min="6664" max="6664" width="11.7109375" style="44" customWidth="1"/>
    <col min="6665" max="6665" width="10" style="44" customWidth="1"/>
    <col min="6666" max="6666" width="11.28515625" style="44" customWidth="1"/>
    <col min="6667" max="6672" width="11.7109375" style="44" customWidth="1"/>
    <col min="6673" max="6673" width="12.85546875" style="44" customWidth="1"/>
    <col min="6674" max="6674" width="12.140625" style="44" customWidth="1"/>
    <col min="6675" max="6912" width="9.140625" style="44"/>
    <col min="6913" max="6913" width="5.85546875" style="44" customWidth="1"/>
    <col min="6914" max="6914" width="25.42578125" style="44" customWidth="1"/>
    <col min="6915" max="6915" width="12.5703125" style="44" customWidth="1"/>
    <col min="6916" max="6916" width="13.42578125" style="44" customWidth="1"/>
    <col min="6917" max="6917" width="8.42578125" style="44" customWidth="1"/>
    <col min="6918" max="6918" width="12.5703125" style="44" customWidth="1"/>
    <col min="6919" max="6919" width="10.7109375" style="44" customWidth="1"/>
    <col min="6920" max="6920" width="11.7109375" style="44" customWidth="1"/>
    <col min="6921" max="6921" width="10" style="44" customWidth="1"/>
    <col min="6922" max="6922" width="11.28515625" style="44" customWidth="1"/>
    <col min="6923" max="6928" width="11.7109375" style="44" customWidth="1"/>
    <col min="6929" max="6929" width="12.85546875" style="44" customWidth="1"/>
    <col min="6930" max="6930" width="12.140625" style="44" customWidth="1"/>
    <col min="6931" max="7168" width="9.140625" style="44"/>
    <col min="7169" max="7169" width="5.85546875" style="44" customWidth="1"/>
    <col min="7170" max="7170" width="25.42578125" style="44" customWidth="1"/>
    <col min="7171" max="7171" width="12.5703125" style="44" customWidth="1"/>
    <col min="7172" max="7172" width="13.42578125" style="44" customWidth="1"/>
    <col min="7173" max="7173" width="8.42578125" style="44" customWidth="1"/>
    <col min="7174" max="7174" width="12.5703125" style="44" customWidth="1"/>
    <col min="7175" max="7175" width="10.7109375" style="44" customWidth="1"/>
    <col min="7176" max="7176" width="11.7109375" style="44" customWidth="1"/>
    <col min="7177" max="7177" width="10" style="44" customWidth="1"/>
    <col min="7178" max="7178" width="11.28515625" style="44" customWidth="1"/>
    <col min="7179" max="7184" width="11.7109375" style="44" customWidth="1"/>
    <col min="7185" max="7185" width="12.85546875" style="44" customWidth="1"/>
    <col min="7186" max="7186" width="12.140625" style="44" customWidth="1"/>
    <col min="7187" max="7424" width="9.140625" style="44"/>
    <col min="7425" max="7425" width="5.85546875" style="44" customWidth="1"/>
    <col min="7426" max="7426" width="25.42578125" style="44" customWidth="1"/>
    <col min="7427" max="7427" width="12.5703125" style="44" customWidth="1"/>
    <col min="7428" max="7428" width="13.42578125" style="44" customWidth="1"/>
    <col min="7429" max="7429" width="8.42578125" style="44" customWidth="1"/>
    <col min="7430" max="7430" width="12.5703125" style="44" customWidth="1"/>
    <col min="7431" max="7431" width="10.7109375" style="44" customWidth="1"/>
    <col min="7432" max="7432" width="11.7109375" style="44" customWidth="1"/>
    <col min="7433" max="7433" width="10" style="44" customWidth="1"/>
    <col min="7434" max="7434" width="11.28515625" style="44" customWidth="1"/>
    <col min="7435" max="7440" width="11.7109375" style="44" customWidth="1"/>
    <col min="7441" max="7441" width="12.85546875" style="44" customWidth="1"/>
    <col min="7442" max="7442" width="12.140625" style="44" customWidth="1"/>
    <col min="7443" max="7680" width="9.140625" style="44"/>
    <col min="7681" max="7681" width="5.85546875" style="44" customWidth="1"/>
    <col min="7682" max="7682" width="25.42578125" style="44" customWidth="1"/>
    <col min="7683" max="7683" width="12.5703125" style="44" customWidth="1"/>
    <col min="7684" max="7684" width="13.42578125" style="44" customWidth="1"/>
    <col min="7685" max="7685" width="8.42578125" style="44" customWidth="1"/>
    <col min="7686" max="7686" width="12.5703125" style="44" customWidth="1"/>
    <col min="7687" max="7687" width="10.7109375" style="44" customWidth="1"/>
    <col min="7688" max="7688" width="11.7109375" style="44" customWidth="1"/>
    <col min="7689" max="7689" width="10" style="44" customWidth="1"/>
    <col min="7690" max="7690" width="11.28515625" style="44" customWidth="1"/>
    <col min="7691" max="7696" width="11.7109375" style="44" customWidth="1"/>
    <col min="7697" max="7697" width="12.85546875" style="44" customWidth="1"/>
    <col min="7698" max="7698" width="12.140625" style="44" customWidth="1"/>
    <col min="7699" max="7936" width="9.140625" style="44"/>
    <col min="7937" max="7937" width="5.85546875" style="44" customWidth="1"/>
    <col min="7938" max="7938" width="25.42578125" style="44" customWidth="1"/>
    <col min="7939" max="7939" width="12.5703125" style="44" customWidth="1"/>
    <col min="7940" max="7940" width="13.42578125" style="44" customWidth="1"/>
    <col min="7941" max="7941" width="8.42578125" style="44" customWidth="1"/>
    <col min="7942" max="7942" width="12.5703125" style="44" customWidth="1"/>
    <col min="7943" max="7943" width="10.7109375" style="44" customWidth="1"/>
    <col min="7944" max="7944" width="11.7109375" style="44" customWidth="1"/>
    <col min="7945" max="7945" width="10" style="44" customWidth="1"/>
    <col min="7946" max="7946" width="11.28515625" style="44" customWidth="1"/>
    <col min="7947" max="7952" width="11.7109375" style="44" customWidth="1"/>
    <col min="7953" max="7953" width="12.85546875" style="44" customWidth="1"/>
    <col min="7954" max="7954" width="12.140625" style="44" customWidth="1"/>
    <col min="7955" max="8192" width="9.140625" style="44"/>
    <col min="8193" max="8193" width="5.85546875" style="44" customWidth="1"/>
    <col min="8194" max="8194" width="25.42578125" style="44" customWidth="1"/>
    <col min="8195" max="8195" width="12.5703125" style="44" customWidth="1"/>
    <col min="8196" max="8196" width="13.42578125" style="44" customWidth="1"/>
    <col min="8197" max="8197" width="8.42578125" style="44" customWidth="1"/>
    <col min="8198" max="8198" width="12.5703125" style="44" customWidth="1"/>
    <col min="8199" max="8199" width="10.7109375" style="44" customWidth="1"/>
    <col min="8200" max="8200" width="11.7109375" style="44" customWidth="1"/>
    <col min="8201" max="8201" width="10" style="44" customWidth="1"/>
    <col min="8202" max="8202" width="11.28515625" style="44" customWidth="1"/>
    <col min="8203" max="8208" width="11.7109375" style="44" customWidth="1"/>
    <col min="8209" max="8209" width="12.85546875" style="44" customWidth="1"/>
    <col min="8210" max="8210" width="12.140625" style="44" customWidth="1"/>
    <col min="8211" max="8448" width="9.140625" style="44"/>
    <col min="8449" max="8449" width="5.85546875" style="44" customWidth="1"/>
    <col min="8450" max="8450" width="25.42578125" style="44" customWidth="1"/>
    <col min="8451" max="8451" width="12.5703125" style="44" customWidth="1"/>
    <col min="8452" max="8452" width="13.42578125" style="44" customWidth="1"/>
    <col min="8453" max="8453" width="8.42578125" style="44" customWidth="1"/>
    <col min="8454" max="8454" width="12.5703125" style="44" customWidth="1"/>
    <col min="8455" max="8455" width="10.7109375" style="44" customWidth="1"/>
    <col min="8456" max="8456" width="11.7109375" style="44" customWidth="1"/>
    <col min="8457" max="8457" width="10" style="44" customWidth="1"/>
    <col min="8458" max="8458" width="11.28515625" style="44" customWidth="1"/>
    <col min="8459" max="8464" width="11.7109375" style="44" customWidth="1"/>
    <col min="8465" max="8465" width="12.85546875" style="44" customWidth="1"/>
    <col min="8466" max="8466" width="12.140625" style="44" customWidth="1"/>
    <col min="8467" max="8704" width="9.140625" style="44"/>
    <col min="8705" max="8705" width="5.85546875" style="44" customWidth="1"/>
    <col min="8706" max="8706" width="25.42578125" style="44" customWidth="1"/>
    <col min="8707" max="8707" width="12.5703125" style="44" customWidth="1"/>
    <col min="8708" max="8708" width="13.42578125" style="44" customWidth="1"/>
    <col min="8709" max="8709" width="8.42578125" style="44" customWidth="1"/>
    <col min="8710" max="8710" width="12.5703125" style="44" customWidth="1"/>
    <col min="8711" max="8711" width="10.7109375" style="44" customWidth="1"/>
    <col min="8712" max="8712" width="11.7109375" style="44" customWidth="1"/>
    <col min="8713" max="8713" width="10" style="44" customWidth="1"/>
    <col min="8714" max="8714" width="11.28515625" style="44" customWidth="1"/>
    <col min="8715" max="8720" width="11.7109375" style="44" customWidth="1"/>
    <col min="8721" max="8721" width="12.85546875" style="44" customWidth="1"/>
    <col min="8722" max="8722" width="12.140625" style="44" customWidth="1"/>
    <col min="8723" max="8960" width="9.140625" style="44"/>
    <col min="8961" max="8961" width="5.85546875" style="44" customWidth="1"/>
    <col min="8962" max="8962" width="25.42578125" style="44" customWidth="1"/>
    <col min="8963" max="8963" width="12.5703125" style="44" customWidth="1"/>
    <col min="8964" max="8964" width="13.42578125" style="44" customWidth="1"/>
    <col min="8965" max="8965" width="8.42578125" style="44" customWidth="1"/>
    <col min="8966" max="8966" width="12.5703125" style="44" customWidth="1"/>
    <col min="8967" max="8967" width="10.7109375" style="44" customWidth="1"/>
    <col min="8968" max="8968" width="11.7109375" style="44" customWidth="1"/>
    <col min="8969" max="8969" width="10" style="44" customWidth="1"/>
    <col min="8970" max="8970" width="11.28515625" style="44" customWidth="1"/>
    <col min="8971" max="8976" width="11.7109375" style="44" customWidth="1"/>
    <col min="8977" max="8977" width="12.85546875" style="44" customWidth="1"/>
    <col min="8978" max="8978" width="12.140625" style="44" customWidth="1"/>
    <col min="8979" max="9216" width="9.140625" style="44"/>
    <col min="9217" max="9217" width="5.85546875" style="44" customWidth="1"/>
    <col min="9218" max="9218" width="25.42578125" style="44" customWidth="1"/>
    <col min="9219" max="9219" width="12.5703125" style="44" customWidth="1"/>
    <col min="9220" max="9220" width="13.42578125" style="44" customWidth="1"/>
    <col min="9221" max="9221" width="8.42578125" style="44" customWidth="1"/>
    <col min="9222" max="9222" width="12.5703125" style="44" customWidth="1"/>
    <col min="9223" max="9223" width="10.7109375" style="44" customWidth="1"/>
    <col min="9224" max="9224" width="11.7109375" style="44" customWidth="1"/>
    <col min="9225" max="9225" width="10" style="44" customWidth="1"/>
    <col min="9226" max="9226" width="11.28515625" style="44" customWidth="1"/>
    <col min="9227" max="9232" width="11.7109375" style="44" customWidth="1"/>
    <col min="9233" max="9233" width="12.85546875" style="44" customWidth="1"/>
    <col min="9234" max="9234" width="12.140625" style="44" customWidth="1"/>
    <col min="9235" max="9472" width="9.140625" style="44"/>
    <col min="9473" max="9473" width="5.85546875" style="44" customWidth="1"/>
    <col min="9474" max="9474" width="25.42578125" style="44" customWidth="1"/>
    <col min="9475" max="9475" width="12.5703125" style="44" customWidth="1"/>
    <col min="9476" max="9476" width="13.42578125" style="44" customWidth="1"/>
    <col min="9477" max="9477" width="8.42578125" style="44" customWidth="1"/>
    <col min="9478" max="9478" width="12.5703125" style="44" customWidth="1"/>
    <col min="9479" max="9479" width="10.7109375" style="44" customWidth="1"/>
    <col min="9480" max="9480" width="11.7109375" style="44" customWidth="1"/>
    <col min="9481" max="9481" width="10" style="44" customWidth="1"/>
    <col min="9482" max="9482" width="11.28515625" style="44" customWidth="1"/>
    <col min="9483" max="9488" width="11.7109375" style="44" customWidth="1"/>
    <col min="9489" max="9489" width="12.85546875" style="44" customWidth="1"/>
    <col min="9490" max="9490" width="12.140625" style="44" customWidth="1"/>
    <col min="9491" max="9728" width="9.140625" style="44"/>
    <col min="9729" max="9729" width="5.85546875" style="44" customWidth="1"/>
    <col min="9730" max="9730" width="25.42578125" style="44" customWidth="1"/>
    <col min="9731" max="9731" width="12.5703125" style="44" customWidth="1"/>
    <col min="9732" max="9732" width="13.42578125" style="44" customWidth="1"/>
    <col min="9733" max="9733" width="8.42578125" style="44" customWidth="1"/>
    <col min="9734" max="9734" width="12.5703125" style="44" customWidth="1"/>
    <col min="9735" max="9735" width="10.7109375" style="44" customWidth="1"/>
    <col min="9736" max="9736" width="11.7109375" style="44" customWidth="1"/>
    <col min="9737" max="9737" width="10" style="44" customWidth="1"/>
    <col min="9738" max="9738" width="11.28515625" style="44" customWidth="1"/>
    <col min="9739" max="9744" width="11.7109375" style="44" customWidth="1"/>
    <col min="9745" max="9745" width="12.85546875" style="44" customWidth="1"/>
    <col min="9746" max="9746" width="12.140625" style="44" customWidth="1"/>
    <col min="9747" max="9984" width="9.140625" style="44"/>
    <col min="9985" max="9985" width="5.85546875" style="44" customWidth="1"/>
    <col min="9986" max="9986" width="25.42578125" style="44" customWidth="1"/>
    <col min="9987" max="9987" width="12.5703125" style="44" customWidth="1"/>
    <col min="9988" max="9988" width="13.42578125" style="44" customWidth="1"/>
    <col min="9989" max="9989" width="8.42578125" style="44" customWidth="1"/>
    <col min="9990" max="9990" width="12.5703125" style="44" customWidth="1"/>
    <col min="9991" max="9991" width="10.7109375" style="44" customWidth="1"/>
    <col min="9992" max="9992" width="11.7109375" style="44" customWidth="1"/>
    <col min="9993" max="9993" width="10" style="44" customWidth="1"/>
    <col min="9994" max="9994" width="11.28515625" style="44" customWidth="1"/>
    <col min="9995" max="10000" width="11.7109375" style="44" customWidth="1"/>
    <col min="10001" max="10001" width="12.85546875" style="44" customWidth="1"/>
    <col min="10002" max="10002" width="12.140625" style="44" customWidth="1"/>
    <col min="10003" max="10240" width="9.140625" style="44"/>
    <col min="10241" max="10241" width="5.85546875" style="44" customWidth="1"/>
    <col min="10242" max="10242" width="25.42578125" style="44" customWidth="1"/>
    <col min="10243" max="10243" width="12.5703125" style="44" customWidth="1"/>
    <col min="10244" max="10244" width="13.42578125" style="44" customWidth="1"/>
    <col min="10245" max="10245" width="8.42578125" style="44" customWidth="1"/>
    <col min="10246" max="10246" width="12.5703125" style="44" customWidth="1"/>
    <col min="10247" max="10247" width="10.7109375" style="44" customWidth="1"/>
    <col min="10248" max="10248" width="11.7109375" style="44" customWidth="1"/>
    <col min="10249" max="10249" width="10" style="44" customWidth="1"/>
    <col min="10250" max="10250" width="11.28515625" style="44" customWidth="1"/>
    <col min="10251" max="10256" width="11.7109375" style="44" customWidth="1"/>
    <col min="10257" max="10257" width="12.85546875" style="44" customWidth="1"/>
    <col min="10258" max="10258" width="12.140625" style="44" customWidth="1"/>
    <col min="10259" max="10496" width="9.140625" style="44"/>
    <col min="10497" max="10497" width="5.85546875" style="44" customWidth="1"/>
    <col min="10498" max="10498" width="25.42578125" style="44" customWidth="1"/>
    <col min="10499" max="10499" width="12.5703125" style="44" customWidth="1"/>
    <col min="10500" max="10500" width="13.42578125" style="44" customWidth="1"/>
    <col min="10501" max="10501" width="8.42578125" style="44" customWidth="1"/>
    <col min="10502" max="10502" width="12.5703125" style="44" customWidth="1"/>
    <col min="10503" max="10503" width="10.7109375" style="44" customWidth="1"/>
    <col min="10504" max="10504" width="11.7109375" style="44" customWidth="1"/>
    <col min="10505" max="10505" width="10" style="44" customWidth="1"/>
    <col min="10506" max="10506" width="11.28515625" style="44" customWidth="1"/>
    <col min="10507" max="10512" width="11.7109375" style="44" customWidth="1"/>
    <col min="10513" max="10513" width="12.85546875" style="44" customWidth="1"/>
    <col min="10514" max="10514" width="12.140625" style="44" customWidth="1"/>
    <col min="10515" max="10752" width="9.140625" style="44"/>
    <col min="10753" max="10753" width="5.85546875" style="44" customWidth="1"/>
    <col min="10754" max="10754" width="25.42578125" style="44" customWidth="1"/>
    <col min="10755" max="10755" width="12.5703125" style="44" customWidth="1"/>
    <col min="10756" max="10756" width="13.42578125" style="44" customWidth="1"/>
    <col min="10757" max="10757" width="8.42578125" style="44" customWidth="1"/>
    <col min="10758" max="10758" width="12.5703125" style="44" customWidth="1"/>
    <col min="10759" max="10759" width="10.7109375" style="44" customWidth="1"/>
    <col min="10760" max="10760" width="11.7109375" style="44" customWidth="1"/>
    <col min="10761" max="10761" width="10" style="44" customWidth="1"/>
    <col min="10762" max="10762" width="11.28515625" style="44" customWidth="1"/>
    <col min="10763" max="10768" width="11.7109375" style="44" customWidth="1"/>
    <col min="10769" max="10769" width="12.85546875" style="44" customWidth="1"/>
    <col min="10770" max="10770" width="12.140625" style="44" customWidth="1"/>
    <col min="10771" max="11008" width="9.140625" style="44"/>
    <col min="11009" max="11009" width="5.85546875" style="44" customWidth="1"/>
    <col min="11010" max="11010" width="25.42578125" style="44" customWidth="1"/>
    <col min="11011" max="11011" width="12.5703125" style="44" customWidth="1"/>
    <col min="11012" max="11012" width="13.42578125" style="44" customWidth="1"/>
    <col min="11013" max="11013" width="8.42578125" style="44" customWidth="1"/>
    <col min="11014" max="11014" width="12.5703125" style="44" customWidth="1"/>
    <col min="11015" max="11015" width="10.7109375" style="44" customWidth="1"/>
    <col min="11016" max="11016" width="11.7109375" style="44" customWidth="1"/>
    <col min="11017" max="11017" width="10" style="44" customWidth="1"/>
    <col min="11018" max="11018" width="11.28515625" style="44" customWidth="1"/>
    <col min="11019" max="11024" width="11.7109375" style="44" customWidth="1"/>
    <col min="11025" max="11025" width="12.85546875" style="44" customWidth="1"/>
    <col min="11026" max="11026" width="12.140625" style="44" customWidth="1"/>
    <col min="11027" max="11264" width="9.140625" style="44"/>
    <col min="11265" max="11265" width="5.85546875" style="44" customWidth="1"/>
    <col min="11266" max="11266" width="25.42578125" style="44" customWidth="1"/>
    <col min="11267" max="11267" width="12.5703125" style="44" customWidth="1"/>
    <col min="11268" max="11268" width="13.42578125" style="44" customWidth="1"/>
    <col min="11269" max="11269" width="8.42578125" style="44" customWidth="1"/>
    <col min="11270" max="11270" width="12.5703125" style="44" customWidth="1"/>
    <col min="11271" max="11271" width="10.7109375" style="44" customWidth="1"/>
    <col min="11272" max="11272" width="11.7109375" style="44" customWidth="1"/>
    <col min="11273" max="11273" width="10" style="44" customWidth="1"/>
    <col min="11274" max="11274" width="11.28515625" style="44" customWidth="1"/>
    <col min="11275" max="11280" width="11.7109375" style="44" customWidth="1"/>
    <col min="11281" max="11281" width="12.85546875" style="44" customWidth="1"/>
    <col min="11282" max="11282" width="12.140625" style="44" customWidth="1"/>
    <col min="11283" max="11520" width="9.140625" style="44"/>
    <col min="11521" max="11521" width="5.85546875" style="44" customWidth="1"/>
    <col min="11522" max="11522" width="25.42578125" style="44" customWidth="1"/>
    <col min="11523" max="11523" width="12.5703125" style="44" customWidth="1"/>
    <col min="11524" max="11524" width="13.42578125" style="44" customWidth="1"/>
    <col min="11525" max="11525" width="8.42578125" style="44" customWidth="1"/>
    <col min="11526" max="11526" width="12.5703125" style="44" customWidth="1"/>
    <col min="11527" max="11527" width="10.7109375" style="44" customWidth="1"/>
    <col min="11528" max="11528" width="11.7109375" style="44" customWidth="1"/>
    <col min="11529" max="11529" width="10" style="44" customWidth="1"/>
    <col min="11530" max="11530" width="11.28515625" style="44" customWidth="1"/>
    <col min="11531" max="11536" width="11.7109375" style="44" customWidth="1"/>
    <col min="11537" max="11537" width="12.85546875" style="44" customWidth="1"/>
    <col min="11538" max="11538" width="12.140625" style="44" customWidth="1"/>
    <col min="11539" max="11776" width="9.140625" style="44"/>
    <col min="11777" max="11777" width="5.85546875" style="44" customWidth="1"/>
    <col min="11778" max="11778" width="25.42578125" style="44" customWidth="1"/>
    <col min="11779" max="11779" width="12.5703125" style="44" customWidth="1"/>
    <col min="11780" max="11780" width="13.42578125" style="44" customWidth="1"/>
    <col min="11781" max="11781" width="8.42578125" style="44" customWidth="1"/>
    <col min="11782" max="11782" width="12.5703125" style="44" customWidth="1"/>
    <col min="11783" max="11783" width="10.7109375" style="44" customWidth="1"/>
    <col min="11784" max="11784" width="11.7109375" style="44" customWidth="1"/>
    <col min="11785" max="11785" width="10" style="44" customWidth="1"/>
    <col min="11786" max="11786" width="11.28515625" style="44" customWidth="1"/>
    <col min="11787" max="11792" width="11.7109375" style="44" customWidth="1"/>
    <col min="11793" max="11793" width="12.85546875" style="44" customWidth="1"/>
    <col min="11794" max="11794" width="12.140625" style="44" customWidth="1"/>
    <col min="11795" max="12032" width="9.140625" style="44"/>
    <col min="12033" max="12033" width="5.85546875" style="44" customWidth="1"/>
    <col min="12034" max="12034" width="25.42578125" style="44" customWidth="1"/>
    <col min="12035" max="12035" width="12.5703125" style="44" customWidth="1"/>
    <col min="12036" max="12036" width="13.42578125" style="44" customWidth="1"/>
    <col min="12037" max="12037" width="8.42578125" style="44" customWidth="1"/>
    <col min="12038" max="12038" width="12.5703125" style="44" customWidth="1"/>
    <col min="12039" max="12039" width="10.7109375" style="44" customWidth="1"/>
    <col min="12040" max="12040" width="11.7109375" style="44" customWidth="1"/>
    <col min="12041" max="12041" width="10" style="44" customWidth="1"/>
    <col min="12042" max="12042" width="11.28515625" style="44" customWidth="1"/>
    <col min="12043" max="12048" width="11.7109375" style="44" customWidth="1"/>
    <col min="12049" max="12049" width="12.85546875" style="44" customWidth="1"/>
    <col min="12050" max="12050" width="12.140625" style="44" customWidth="1"/>
    <col min="12051" max="12288" width="9.140625" style="44"/>
    <col min="12289" max="12289" width="5.85546875" style="44" customWidth="1"/>
    <col min="12290" max="12290" width="25.42578125" style="44" customWidth="1"/>
    <col min="12291" max="12291" width="12.5703125" style="44" customWidth="1"/>
    <col min="12292" max="12292" width="13.42578125" style="44" customWidth="1"/>
    <col min="12293" max="12293" width="8.42578125" style="44" customWidth="1"/>
    <col min="12294" max="12294" width="12.5703125" style="44" customWidth="1"/>
    <col min="12295" max="12295" width="10.7109375" style="44" customWidth="1"/>
    <col min="12296" max="12296" width="11.7109375" style="44" customWidth="1"/>
    <col min="12297" max="12297" width="10" style="44" customWidth="1"/>
    <col min="12298" max="12298" width="11.28515625" style="44" customWidth="1"/>
    <col min="12299" max="12304" width="11.7109375" style="44" customWidth="1"/>
    <col min="12305" max="12305" width="12.85546875" style="44" customWidth="1"/>
    <col min="12306" max="12306" width="12.140625" style="44" customWidth="1"/>
    <col min="12307" max="12544" width="9.140625" style="44"/>
    <col min="12545" max="12545" width="5.85546875" style="44" customWidth="1"/>
    <col min="12546" max="12546" width="25.42578125" style="44" customWidth="1"/>
    <col min="12547" max="12547" width="12.5703125" style="44" customWidth="1"/>
    <col min="12548" max="12548" width="13.42578125" style="44" customWidth="1"/>
    <col min="12549" max="12549" width="8.42578125" style="44" customWidth="1"/>
    <col min="12550" max="12550" width="12.5703125" style="44" customWidth="1"/>
    <col min="12551" max="12551" width="10.7109375" style="44" customWidth="1"/>
    <col min="12552" max="12552" width="11.7109375" style="44" customWidth="1"/>
    <col min="12553" max="12553" width="10" style="44" customWidth="1"/>
    <col min="12554" max="12554" width="11.28515625" style="44" customWidth="1"/>
    <col min="12555" max="12560" width="11.7109375" style="44" customWidth="1"/>
    <col min="12561" max="12561" width="12.85546875" style="44" customWidth="1"/>
    <col min="12562" max="12562" width="12.140625" style="44" customWidth="1"/>
    <col min="12563" max="12800" width="9.140625" style="44"/>
    <col min="12801" max="12801" width="5.85546875" style="44" customWidth="1"/>
    <col min="12802" max="12802" width="25.42578125" style="44" customWidth="1"/>
    <col min="12803" max="12803" width="12.5703125" style="44" customWidth="1"/>
    <col min="12804" max="12804" width="13.42578125" style="44" customWidth="1"/>
    <col min="12805" max="12805" width="8.42578125" style="44" customWidth="1"/>
    <col min="12806" max="12806" width="12.5703125" style="44" customWidth="1"/>
    <col min="12807" max="12807" width="10.7109375" style="44" customWidth="1"/>
    <col min="12808" max="12808" width="11.7109375" style="44" customWidth="1"/>
    <col min="12809" max="12809" width="10" style="44" customWidth="1"/>
    <col min="12810" max="12810" width="11.28515625" style="44" customWidth="1"/>
    <col min="12811" max="12816" width="11.7109375" style="44" customWidth="1"/>
    <col min="12817" max="12817" width="12.85546875" style="44" customWidth="1"/>
    <col min="12818" max="12818" width="12.140625" style="44" customWidth="1"/>
    <col min="12819" max="13056" width="9.140625" style="44"/>
    <col min="13057" max="13057" width="5.85546875" style="44" customWidth="1"/>
    <col min="13058" max="13058" width="25.42578125" style="44" customWidth="1"/>
    <col min="13059" max="13059" width="12.5703125" style="44" customWidth="1"/>
    <col min="13060" max="13060" width="13.42578125" style="44" customWidth="1"/>
    <col min="13061" max="13061" width="8.42578125" style="44" customWidth="1"/>
    <col min="13062" max="13062" width="12.5703125" style="44" customWidth="1"/>
    <col min="13063" max="13063" width="10.7109375" style="44" customWidth="1"/>
    <col min="13064" max="13064" width="11.7109375" style="44" customWidth="1"/>
    <col min="13065" max="13065" width="10" style="44" customWidth="1"/>
    <col min="13066" max="13066" width="11.28515625" style="44" customWidth="1"/>
    <col min="13067" max="13072" width="11.7109375" style="44" customWidth="1"/>
    <col min="13073" max="13073" width="12.85546875" style="44" customWidth="1"/>
    <col min="13074" max="13074" width="12.140625" style="44" customWidth="1"/>
    <col min="13075" max="13312" width="9.140625" style="44"/>
    <col min="13313" max="13313" width="5.85546875" style="44" customWidth="1"/>
    <col min="13314" max="13314" width="25.42578125" style="44" customWidth="1"/>
    <col min="13315" max="13315" width="12.5703125" style="44" customWidth="1"/>
    <col min="13316" max="13316" width="13.42578125" style="44" customWidth="1"/>
    <col min="13317" max="13317" width="8.42578125" style="44" customWidth="1"/>
    <col min="13318" max="13318" width="12.5703125" style="44" customWidth="1"/>
    <col min="13319" max="13319" width="10.7109375" style="44" customWidth="1"/>
    <col min="13320" max="13320" width="11.7109375" style="44" customWidth="1"/>
    <col min="13321" max="13321" width="10" style="44" customWidth="1"/>
    <col min="13322" max="13322" width="11.28515625" style="44" customWidth="1"/>
    <col min="13323" max="13328" width="11.7109375" style="44" customWidth="1"/>
    <col min="13329" max="13329" width="12.85546875" style="44" customWidth="1"/>
    <col min="13330" max="13330" width="12.140625" style="44" customWidth="1"/>
    <col min="13331" max="13568" width="9.140625" style="44"/>
    <col min="13569" max="13569" width="5.85546875" style="44" customWidth="1"/>
    <col min="13570" max="13570" width="25.42578125" style="44" customWidth="1"/>
    <col min="13571" max="13571" width="12.5703125" style="44" customWidth="1"/>
    <col min="13572" max="13572" width="13.42578125" style="44" customWidth="1"/>
    <col min="13573" max="13573" width="8.42578125" style="44" customWidth="1"/>
    <col min="13574" max="13574" width="12.5703125" style="44" customWidth="1"/>
    <col min="13575" max="13575" width="10.7109375" style="44" customWidth="1"/>
    <col min="13576" max="13576" width="11.7109375" style="44" customWidth="1"/>
    <col min="13577" max="13577" width="10" style="44" customWidth="1"/>
    <col min="13578" max="13578" width="11.28515625" style="44" customWidth="1"/>
    <col min="13579" max="13584" width="11.7109375" style="44" customWidth="1"/>
    <col min="13585" max="13585" width="12.85546875" style="44" customWidth="1"/>
    <col min="13586" max="13586" width="12.140625" style="44" customWidth="1"/>
    <col min="13587" max="13824" width="9.140625" style="44"/>
    <col min="13825" max="13825" width="5.85546875" style="44" customWidth="1"/>
    <col min="13826" max="13826" width="25.42578125" style="44" customWidth="1"/>
    <col min="13827" max="13827" width="12.5703125" style="44" customWidth="1"/>
    <col min="13828" max="13828" width="13.42578125" style="44" customWidth="1"/>
    <col min="13829" max="13829" width="8.42578125" style="44" customWidth="1"/>
    <col min="13830" max="13830" width="12.5703125" style="44" customWidth="1"/>
    <col min="13831" max="13831" width="10.7109375" style="44" customWidth="1"/>
    <col min="13832" max="13832" width="11.7109375" style="44" customWidth="1"/>
    <col min="13833" max="13833" width="10" style="44" customWidth="1"/>
    <col min="13834" max="13834" width="11.28515625" style="44" customWidth="1"/>
    <col min="13835" max="13840" width="11.7109375" style="44" customWidth="1"/>
    <col min="13841" max="13841" width="12.85546875" style="44" customWidth="1"/>
    <col min="13842" max="13842" width="12.140625" style="44" customWidth="1"/>
    <col min="13843" max="14080" width="9.140625" style="44"/>
    <col min="14081" max="14081" width="5.85546875" style="44" customWidth="1"/>
    <col min="14082" max="14082" width="25.42578125" style="44" customWidth="1"/>
    <col min="14083" max="14083" width="12.5703125" style="44" customWidth="1"/>
    <col min="14084" max="14084" width="13.42578125" style="44" customWidth="1"/>
    <col min="14085" max="14085" width="8.42578125" style="44" customWidth="1"/>
    <col min="14086" max="14086" width="12.5703125" style="44" customWidth="1"/>
    <col min="14087" max="14087" width="10.7109375" style="44" customWidth="1"/>
    <col min="14088" max="14088" width="11.7109375" style="44" customWidth="1"/>
    <col min="14089" max="14089" width="10" style="44" customWidth="1"/>
    <col min="14090" max="14090" width="11.28515625" style="44" customWidth="1"/>
    <col min="14091" max="14096" width="11.7109375" style="44" customWidth="1"/>
    <col min="14097" max="14097" width="12.85546875" style="44" customWidth="1"/>
    <col min="14098" max="14098" width="12.140625" style="44" customWidth="1"/>
    <col min="14099" max="14336" width="9.140625" style="44"/>
    <col min="14337" max="14337" width="5.85546875" style="44" customWidth="1"/>
    <col min="14338" max="14338" width="25.42578125" style="44" customWidth="1"/>
    <col min="14339" max="14339" width="12.5703125" style="44" customWidth="1"/>
    <col min="14340" max="14340" width="13.42578125" style="44" customWidth="1"/>
    <col min="14341" max="14341" width="8.42578125" style="44" customWidth="1"/>
    <col min="14342" max="14342" width="12.5703125" style="44" customWidth="1"/>
    <col min="14343" max="14343" width="10.7109375" style="44" customWidth="1"/>
    <col min="14344" max="14344" width="11.7109375" style="44" customWidth="1"/>
    <col min="14345" max="14345" width="10" style="44" customWidth="1"/>
    <col min="14346" max="14346" width="11.28515625" style="44" customWidth="1"/>
    <col min="14347" max="14352" width="11.7109375" style="44" customWidth="1"/>
    <col min="14353" max="14353" width="12.85546875" style="44" customWidth="1"/>
    <col min="14354" max="14354" width="12.140625" style="44" customWidth="1"/>
    <col min="14355" max="14592" width="9.140625" style="44"/>
    <col min="14593" max="14593" width="5.85546875" style="44" customWidth="1"/>
    <col min="14594" max="14594" width="25.42578125" style="44" customWidth="1"/>
    <col min="14595" max="14595" width="12.5703125" style="44" customWidth="1"/>
    <col min="14596" max="14596" width="13.42578125" style="44" customWidth="1"/>
    <col min="14597" max="14597" width="8.42578125" style="44" customWidth="1"/>
    <col min="14598" max="14598" width="12.5703125" style="44" customWidth="1"/>
    <col min="14599" max="14599" width="10.7109375" style="44" customWidth="1"/>
    <col min="14600" max="14600" width="11.7109375" style="44" customWidth="1"/>
    <col min="14601" max="14601" width="10" style="44" customWidth="1"/>
    <col min="14602" max="14602" width="11.28515625" style="44" customWidth="1"/>
    <col min="14603" max="14608" width="11.7109375" style="44" customWidth="1"/>
    <col min="14609" max="14609" width="12.85546875" style="44" customWidth="1"/>
    <col min="14610" max="14610" width="12.140625" style="44" customWidth="1"/>
    <col min="14611" max="14848" width="9.140625" style="44"/>
    <col min="14849" max="14849" width="5.85546875" style="44" customWidth="1"/>
    <col min="14850" max="14850" width="25.42578125" style="44" customWidth="1"/>
    <col min="14851" max="14851" width="12.5703125" style="44" customWidth="1"/>
    <col min="14852" max="14852" width="13.42578125" style="44" customWidth="1"/>
    <col min="14853" max="14853" width="8.42578125" style="44" customWidth="1"/>
    <col min="14854" max="14854" width="12.5703125" style="44" customWidth="1"/>
    <col min="14855" max="14855" width="10.7109375" style="44" customWidth="1"/>
    <col min="14856" max="14856" width="11.7109375" style="44" customWidth="1"/>
    <col min="14857" max="14857" width="10" style="44" customWidth="1"/>
    <col min="14858" max="14858" width="11.28515625" style="44" customWidth="1"/>
    <col min="14859" max="14864" width="11.7109375" style="44" customWidth="1"/>
    <col min="14865" max="14865" width="12.85546875" style="44" customWidth="1"/>
    <col min="14866" max="14866" width="12.140625" style="44" customWidth="1"/>
    <col min="14867" max="15104" width="9.140625" style="44"/>
    <col min="15105" max="15105" width="5.85546875" style="44" customWidth="1"/>
    <col min="15106" max="15106" width="25.42578125" style="44" customWidth="1"/>
    <col min="15107" max="15107" width="12.5703125" style="44" customWidth="1"/>
    <col min="15108" max="15108" width="13.42578125" style="44" customWidth="1"/>
    <col min="15109" max="15109" width="8.42578125" style="44" customWidth="1"/>
    <col min="15110" max="15110" width="12.5703125" style="44" customWidth="1"/>
    <col min="15111" max="15111" width="10.7109375" style="44" customWidth="1"/>
    <col min="15112" max="15112" width="11.7109375" style="44" customWidth="1"/>
    <col min="15113" max="15113" width="10" style="44" customWidth="1"/>
    <col min="15114" max="15114" width="11.28515625" style="44" customWidth="1"/>
    <col min="15115" max="15120" width="11.7109375" style="44" customWidth="1"/>
    <col min="15121" max="15121" width="12.85546875" style="44" customWidth="1"/>
    <col min="15122" max="15122" width="12.140625" style="44" customWidth="1"/>
    <col min="15123" max="15360" width="9.140625" style="44"/>
    <col min="15361" max="15361" width="5.85546875" style="44" customWidth="1"/>
    <col min="15362" max="15362" width="25.42578125" style="44" customWidth="1"/>
    <col min="15363" max="15363" width="12.5703125" style="44" customWidth="1"/>
    <col min="15364" max="15364" width="13.42578125" style="44" customWidth="1"/>
    <col min="15365" max="15365" width="8.42578125" style="44" customWidth="1"/>
    <col min="15366" max="15366" width="12.5703125" style="44" customWidth="1"/>
    <col min="15367" max="15367" width="10.7109375" style="44" customWidth="1"/>
    <col min="15368" max="15368" width="11.7109375" style="44" customWidth="1"/>
    <col min="15369" max="15369" width="10" style="44" customWidth="1"/>
    <col min="15370" max="15370" width="11.28515625" style="44" customWidth="1"/>
    <col min="15371" max="15376" width="11.7109375" style="44" customWidth="1"/>
    <col min="15377" max="15377" width="12.85546875" style="44" customWidth="1"/>
    <col min="15378" max="15378" width="12.140625" style="44" customWidth="1"/>
    <col min="15379" max="15616" width="9.140625" style="44"/>
    <col min="15617" max="15617" width="5.85546875" style="44" customWidth="1"/>
    <col min="15618" max="15618" width="25.42578125" style="44" customWidth="1"/>
    <col min="15619" max="15619" width="12.5703125" style="44" customWidth="1"/>
    <col min="15620" max="15620" width="13.42578125" style="44" customWidth="1"/>
    <col min="15621" max="15621" width="8.42578125" style="44" customWidth="1"/>
    <col min="15622" max="15622" width="12.5703125" style="44" customWidth="1"/>
    <col min="15623" max="15623" width="10.7109375" style="44" customWidth="1"/>
    <col min="15624" max="15624" width="11.7109375" style="44" customWidth="1"/>
    <col min="15625" max="15625" width="10" style="44" customWidth="1"/>
    <col min="15626" max="15626" width="11.28515625" style="44" customWidth="1"/>
    <col min="15627" max="15632" width="11.7109375" style="44" customWidth="1"/>
    <col min="15633" max="15633" width="12.85546875" style="44" customWidth="1"/>
    <col min="15634" max="15634" width="12.140625" style="44" customWidth="1"/>
    <col min="15635" max="15872" width="9.140625" style="44"/>
    <col min="15873" max="15873" width="5.85546875" style="44" customWidth="1"/>
    <col min="15874" max="15874" width="25.42578125" style="44" customWidth="1"/>
    <col min="15875" max="15875" width="12.5703125" style="44" customWidth="1"/>
    <col min="15876" max="15876" width="13.42578125" style="44" customWidth="1"/>
    <col min="15877" max="15877" width="8.42578125" style="44" customWidth="1"/>
    <col min="15878" max="15878" width="12.5703125" style="44" customWidth="1"/>
    <col min="15879" max="15879" width="10.7109375" style="44" customWidth="1"/>
    <col min="15880" max="15880" width="11.7109375" style="44" customWidth="1"/>
    <col min="15881" max="15881" width="10" style="44" customWidth="1"/>
    <col min="15882" max="15882" width="11.28515625" style="44" customWidth="1"/>
    <col min="15883" max="15888" width="11.7109375" style="44" customWidth="1"/>
    <col min="15889" max="15889" width="12.85546875" style="44" customWidth="1"/>
    <col min="15890" max="15890" width="12.140625" style="44" customWidth="1"/>
    <col min="15891" max="16128" width="9.140625" style="44"/>
    <col min="16129" max="16129" width="5.85546875" style="44" customWidth="1"/>
    <col min="16130" max="16130" width="25.42578125" style="44" customWidth="1"/>
    <col min="16131" max="16131" width="12.5703125" style="44" customWidth="1"/>
    <col min="16132" max="16132" width="13.42578125" style="44" customWidth="1"/>
    <col min="16133" max="16133" width="8.42578125" style="44" customWidth="1"/>
    <col min="16134" max="16134" width="12.5703125" style="44" customWidth="1"/>
    <col min="16135" max="16135" width="10.7109375" style="44" customWidth="1"/>
    <col min="16136" max="16136" width="11.7109375" style="44" customWidth="1"/>
    <col min="16137" max="16137" width="10" style="44" customWidth="1"/>
    <col min="16138" max="16138" width="11.28515625" style="44" customWidth="1"/>
    <col min="16139" max="16144" width="11.7109375" style="44" customWidth="1"/>
    <col min="16145" max="16145" width="12.85546875" style="44" customWidth="1"/>
    <col min="16146" max="16146" width="12.140625" style="44" customWidth="1"/>
    <col min="16147" max="16384" width="9.140625" style="44"/>
  </cols>
  <sheetData>
    <row r="1" spans="1:18" ht="30.75" customHeight="1">
      <c r="A1" s="1785" t="str">
        <f>+'64'!A1:B1</f>
        <v>UBND xã Trần Phú</v>
      </c>
      <c r="B1" s="1785"/>
      <c r="L1" s="1114"/>
      <c r="M1" s="1114"/>
      <c r="N1" s="1114"/>
      <c r="O1" s="1786" t="s">
        <v>1142</v>
      </c>
      <c r="P1" s="1786"/>
    </row>
    <row r="2" spans="1:18" ht="36" customHeight="1">
      <c r="A2" s="1791" t="s">
        <v>1143</v>
      </c>
      <c r="B2" s="1791"/>
      <c r="C2" s="1791"/>
      <c r="D2" s="1791"/>
      <c r="E2" s="1791"/>
      <c r="F2" s="1791"/>
      <c r="G2" s="1791"/>
      <c r="H2" s="1791"/>
      <c r="I2" s="1791"/>
      <c r="J2" s="1791"/>
      <c r="K2" s="1791"/>
      <c r="L2" s="1791"/>
      <c r="M2" s="1791"/>
      <c r="N2" s="1791"/>
      <c r="O2" s="1791"/>
      <c r="P2" s="1791"/>
    </row>
    <row r="3" spans="1:18" ht="24.75" customHeight="1">
      <c r="A3" s="1792" t="str">
        <f>'62'!A3:AJ3</f>
        <v>(Kèm theo Quyết định số      /QĐ-UBND ngày 15/04/2026 nhân dân xã Trần Phú)</v>
      </c>
      <c r="B3" s="1792"/>
      <c r="C3" s="1792"/>
      <c r="D3" s="1792"/>
      <c r="E3" s="1792"/>
      <c r="F3" s="1792"/>
      <c r="G3" s="1792"/>
      <c r="H3" s="1792"/>
      <c r="I3" s="1792"/>
      <c r="J3" s="1792"/>
      <c r="K3" s="1792"/>
      <c r="L3" s="1792"/>
      <c r="M3" s="1792"/>
      <c r="N3" s="1792"/>
      <c r="O3" s="1792"/>
      <c r="P3" s="1792"/>
    </row>
    <row r="4" spans="1:18" ht="18" customHeight="1">
      <c r="K4" s="1793" t="s">
        <v>312</v>
      </c>
      <c r="L4" s="1793"/>
      <c r="M4" s="1793"/>
      <c r="N4" s="1793"/>
      <c r="O4" s="1793"/>
      <c r="P4" s="1793"/>
    </row>
    <row r="5" spans="1:18" s="1115" customFormat="1" ht="29.25" customHeight="1">
      <c r="A5" s="1787" t="s">
        <v>313</v>
      </c>
      <c r="B5" s="1787" t="s">
        <v>235</v>
      </c>
      <c r="C5" s="1787" t="s">
        <v>1040</v>
      </c>
      <c r="D5" s="1787" t="s">
        <v>1039</v>
      </c>
      <c r="E5" s="1787"/>
      <c r="F5" s="1787"/>
      <c r="G5" s="1787"/>
      <c r="H5" s="1787" t="s">
        <v>1139</v>
      </c>
      <c r="I5" s="1787"/>
      <c r="J5" s="1787"/>
      <c r="K5" s="1787"/>
      <c r="L5" s="1788" t="s">
        <v>1144</v>
      </c>
      <c r="M5" s="1789"/>
      <c r="N5" s="1789"/>
      <c r="O5" s="1790"/>
      <c r="P5" s="1787" t="s">
        <v>1145</v>
      </c>
    </row>
    <row r="6" spans="1:18" s="1115" customFormat="1" ht="36" customHeight="1">
      <c r="A6" s="1787"/>
      <c r="B6" s="1787"/>
      <c r="C6" s="1787"/>
      <c r="D6" s="1787" t="s">
        <v>121</v>
      </c>
      <c r="E6" s="1787"/>
      <c r="F6" s="1787" t="s">
        <v>122</v>
      </c>
      <c r="G6" s="1787" t="s">
        <v>254</v>
      </c>
      <c r="H6" s="1787" t="s">
        <v>121</v>
      </c>
      <c r="I6" s="1787"/>
      <c r="J6" s="1787" t="s">
        <v>122</v>
      </c>
      <c r="K6" s="1787" t="s">
        <v>254</v>
      </c>
      <c r="L6" s="1787" t="s">
        <v>121</v>
      </c>
      <c r="M6" s="1787"/>
      <c r="N6" s="1787" t="s">
        <v>122</v>
      </c>
      <c r="O6" s="1787" t="s">
        <v>254</v>
      </c>
      <c r="P6" s="1787"/>
    </row>
    <row r="7" spans="1:18" s="1115" customFormat="1" ht="70.5" customHeight="1">
      <c r="A7" s="1787"/>
      <c r="B7" s="1787"/>
      <c r="C7" s="1787"/>
      <c r="D7" s="1117" t="s">
        <v>152</v>
      </c>
      <c r="E7" s="1117" t="s">
        <v>742</v>
      </c>
      <c r="F7" s="1787"/>
      <c r="G7" s="1787"/>
      <c r="H7" s="1117" t="s">
        <v>152</v>
      </c>
      <c r="I7" s="1118" t="s">
        <v>742</v>
      </c>
      <c r="J7" s="1787"/>
      <c r="K7" s="1787"/>
      <c r="L7" s="1117" t="s">
        <v>152</v>
      </c>
      <c r="M7" s="1118" t="s">
        <v>742</v>
      </c>
      <c r="N7" s="1787"/>
      <c r="O7" s="1787"/>
      <c r="P7" s="1787"/>
    </row>
    <row r="8" spans="1:18" ht="18" customHeight="1">
      <c r="A8" s="807" t="s">
        <v>316</v>
      </c>
      <c r="B8" s="807" t="s">
        <v>317</v>
      </c>
      <c r="C8" s="807">
        <v>1</v>
      </c>
      <c r="D8" s="807">
        <v>2</v>
      </c>
      <c r="E8" s="807">
        <v>3</v>
      </c>
      <c r="F8" s="807">
        <v>4</v>
      </c>
      <c r="G8" s="807" t="s">
        <v>349</v>
      </c>
      <c r="H8" s="807">
        <v>6</v>
      </c>
      <c r="I8" s="1119">
        <v>7</v>
      </c>
      <c r="J8" s="807">
        <v>8</v>
      </c>
      <c r="K8" s="807" t="s">
        <v>350</v>
      </c>
      <c r="L8" s="807">
        <v>10</v>
      </c>
      <c r="M8" s="807">
        <v>11</v>
      </c>
      <c r="N8" s="807">
        <v>12</v>
      </c>
      <c r="O8" s="807" t="s">
        <v>743</v>
      </c>
      <c r="P8" s="807" t="s">
        <v>744</v>
      </c>
    </row>
    <row r="9" spans="1:18" s="1579" customFormat="1" ht="24" customHeight="1">
      <c r="A9" s="1577"/>
      <c r="B9" s="1577" t="s">
        <v>574</v>
      </c>
      <c r="C9" s="1578">
        <f>C10+C14+C18+C22+C25+C28+C31</f>
        <v>239.04812599999997</v>
      </c>
      <c r="D9" s="1578">
        <f t="shared" ref="D9:P9" si="0">D10+D14+D18+D22+D25+D28+D31</f>
        <v>161.1</v>
      </c>
      <c r="E9" s="1578">
        <f t="shared" si="0"/>
        <v>0</v>
      </c>
      <c r="F9" s="1578">
        <f t="shared" si="0"/>
        <v>147.9</v>
      </c>
      <c r="G9" s="1578">
        <f t="shared" si="0"/>
        <v>13.199999999999998</v>
      </c>
      <c r="H9" s="1578">
        <f t="shared" si="0"/>
        <v>3022.6467549999998</v>
      </c>
      <c r="I9" s="1578"/>
      <c r="J9" s="1578">
        <f t="shared" si="0"/>
        <v>1947.7209</v>
      </c>
      <c r="K9" s="1578">
        <f t="shared" si="0"/>
        <v>92.849706000000083</v>
      </c>
      <c r="L9" s="1578"/>
      <c r="M9" s="1578"/>
      <c r="N9" s="1578"/>
      <c r="O9" s="1578"/>
      <c r="P9" s="1578">
        <f t="shared" si="0"/>
        <v>1313.9739810000001</v>
      </c>
      <c r="R9" s="1580"/>
    </row>
    <row r="10" spans="1:18" s="1579" customFormat="1" ht="22.5" customHeight="1">
      <c r="A10" s="1581">
        <v>1</v>
      </c>
      <c r="B10" s="1586" t="s">
        <v>1041</v>
      </c>
      <c r="C10" s="1116">
        <f t="shared" ref="C10:G10" si="1">SUM(C11:C13)</f>
        <v>51.561993999999999</v>
      </c>
      <c r="D10" s="1116">
        <f t="shared" si="1"/>
        <v>46.8</v>
      </c>
      <c r="E10" s="1116">
        <f t="shared" si="1"/>
        <v>0</v>
      </c>
      <c r="F10" s="1116">
        <f t="shared" si="1"/>
        <v>46.2</v>
      </c>
      <c r="G10" s="1116">
        <f t="shared" si="1"/>
        <v>0.59999999999999964</v>
      </c>
      <c r="H10" s="1116">
        <v>12.104888000000001</v>
      </c>
      <c r="I10" s="1116"/>
      <c r="J10" s="1116">
        <v>8.3000000000000007</v>
      </c>
      <c r="K10" s="1116">
        <f>H10-J10</f>
        <v>3.804888</v>
      </c>
      <c r="L10" s="1116"/>
      <c r="M10" s="1116"/>
      <c r="N10" s="1116"/>
      <c r="O10" s="1116"/>
      <c r="P10" s="1116">
        <f>C10+H10-J10</f>
        <v>55.366882000000004</v>
      </c>
    </row>
    <row r="11" spans="1:18" s="1579" customFormat="1" ht="21.75" hidden="1" customHeight="1">
      <c r="A11" s="1581"/>
      <c r="B11" s="1582" t="s">
        <v>309</v>
      </c>
      <c r="C11" s="1116">
        <v>13.119994</v>
      </c>
      <c r="D11" s="1587">
        <v>4</v>
      </c>
      <c r="E11" s="1587"/>
      <c r="F11" s="1587">
        <v>3.7</v>
      </c>
      <c r="G11" s="1588">
        <f>D11-F11</f>
        <v>0.29999999999999982</v>
      </c>
      <c r="H11" s="1587"/>
      <c r="I11" s="1587"/>
      <c r="J11" s="1587"/>
      <c r="K11" s="1588"/>
      <c r="L11" s="1587"/>
      <c r="M11" s="1587"/>
      <c r="N11" s="1587"/>
      <c r="O11" s="1587"/>
      <c r="P11" s="1583"/>
    </row>
    <row r="12" spans="1:18" s="1579" customFormat="1" ht="21.75" hidden="1" customHeight="1">
      <c r="A12" s="1581"/>
      <c r="B12" s="1582" t="s">
        <v>557</v>
      </c>
      <c r="C12" s="1116">
        <v>33.561999999999998</v>
      </c>
      <c r="D12" s="1587">
        <v>40</v>
      </c>
      <c r="E12" s="1587"/>
      <c r="F12" s="1587">
        <v>40</v>
      </c>
      <c r="G12" s="1588">
        <f t="shared" ref="G12:G13" si="2">D12-F12</f>
        <v>0</v>
      </c>
      <c r="H12" s="1588"/>
      <c r="I12" s="1587"/>
      <c r="J12" s="1587"/>
      <c r="K12" s="1588"/>
      <c r="L12" s="1588"/>
      <c r="M12" s="1588"/>
      <c r="N12" s="1588"/>
      <c r="O12" s="1588"/>
      <c r="P12" s="1583"/>
    </row>
    <row r="13" spans="1:18" s="1579" customFormat="1" ht="21.75" hidden="1" customHeight="1">
      <c r="A13" s="1581"/>
      <c r="B13" s="1582" t="s">
        <v>1376</v>
      </c>
      <c r="C13" s="1116">
        <v>4.88</v>
      </c>
      <c r="D13" s="1587">
        <v>2.8</v>
      </c>
      <c r="E13" s="1116"/>
      <c r="F13" s="1116">
        <v>2.5</v>
      </c>
      <c r="G13" s="1588">
        <f t="shared" si="2"/>
        <v>0.29999999999999982</v>
      </c>
      <c r="H13" s="1583"/>
      <c r="I13" s="1116"/>
      <c r="J13" s="1116">
        <v>0.3</v>
      </c>
      <c r="K13" s="1588"/>
      <c r="L13" s="1583"/>
      <c r="M13" s="1583"/>
      <c r="N13" s="1583"/>
      <c r="O13" s="1583"/>
      <c r="P13" s="1583"/>
    </row>
    <row r="14" spans="1:18" s="1579" customFormat="1" ht="21.75" customHeight="1">
      <c r="A14" s="1581">
        <v>2</v>
      </c>
      <c r="B14" s="1586" t="s">
        <v>745</v>
      </c>
      <c r="C14" s="1116">
        <f t="shared" ref="C14:K14" si="3">SUM(C15:C17)</f>
        <v>18.757000000000001</v>
      </c>
      <c r="D14" s="1116">
        <f t="shared" si="3"/>
        <v>3.7</v>
      </c>
      <c r="E14" s="1116">
        <f t="shared" si="3"/>
        <v>0</v>
      </c>
      <c r="F14" s="1116">
        <f t="shared" si="3"/>
        <v>2.6</v>
      </c>
      <c r="G14" s="1116">
        <f t="shared" si="3"/>
        <v>1.1000000000000001</v>
      </c>
      <c r="H14" s="1116"/>
      <c r="I14" s="1116"/>
      <c r="J14" s="1116">
        <f>C14-0.487</f>
        <v>18.270000000000003</v>
      </c>
      <c r="K14" s="1116">
        <f t="shared" si="3"/>
        <v>0</v>
      </c>
      <c r="L14" s="1116"/>
      <c r="M14" s="1116"/>
      <c r="N14" s="1116"/>
      <c r="O14" s="1116"/>
      <c r="P14" s="1116">
        <f>C14+H14-J14</f>
        <v>0.48699999999999832</v>
      </c>
    </row>
    <row r="15" spans="1:18" s="1579" customFormat="1" ht="21.75" hidden="1" customHeight="1">
      <c r="A15" s="1581" t="s">
        <v>52</v>
      </c>
      <c r="B15" s="1582" t="s">
        <v>309</v>
      </c>
      <c r="C15" s="1116">
        <v>8.7940000000000005</v>
      </c>
      <c r="D15" s="1116">
        <v>2.5</v>
      </c>
      <c r="E15" s="1116"/>
      <c r="F15" s="1116">
        <v>2</v>
      </c>
      <c r="G15" s="1583">
        <f t="shared" ref="G15:G17" si="4">D15-F15</f>
        <v>0.5</v>
      </c>
      <c r="H15" s="1116"/>
      <c r="I15" s="1116"/>
      <c r="J15" s="1116"/>
      <c r="K15" s="1583"/>
      <c r="L15" s="1116"/>
      <c r="M15" s="1116"/>
      <c r="N15" s="1116"/>
      <c r="O15" s="1116"/>
      <c r="P15" s="1583">
        <f t="shared" ref="P15:P16" si="5">C15+H15-J15</f>
        <v>8.7940000000000005</v>
      </c>
    </row>
    <row r="16" spans="1:18" s="1579" customFormat="1" ht="21.75" hidden="1" customHeight="1">
      <c r="A16" s="1581" t="s">
        <v>53</v>
      </c>
      <c r="B16" s="1582" t="s">
        <v>557</v>
      </c>
      <c r="C16" s="1116">
        <v>8.8759999999999994</v>
      </c>
      <c r="D16" s="1116">
        <f t="shared" ref="D16" si="6">E16+F16</f>
        <v>0</v>
      </c>
      <c r="E16" s="1116"/>
      <c r="F16" s="1116"/>
      <c r="G16" s="1583">
        <f t="shared" si="4"/>
        <v>0</v>
      </c>
      <c r="H16" s="1583"/>
      <c r="I16" s="1116"/>
      <c r="J16" s="1116"/>
      <c r="K16" s="1583"/>
      <c r="L16" s="1583"/>
      <c r="M16" s="1583"/>
      <c r="N16" s="1583"/>
      <c r="O16" s="1583"/>
      <c r="P16" s="1583">
        <f t="shared" si="5"/>
        <v>8.8759999999999994</v>
      </c>
    </row>
    <row r="17" spans="1:16" s="1579" customFormat="1" ht="21.75" hidden="1" customHeight="1">
      <c r="A17" s="1581" t="s">
        <v>1377</v>
      </c>
      <c r="B17" s="1582" t="s">
        <v>1376</v>
      </c>
      <c r="C17" s="1116">
        <v>1.087</v>
      </c>
      <c r="D17" s="1116">
        <v>1.2</v>
      </c>
      <c r="E17" s="1116"/>
      <c r="F17" s="1116">
        <v>0.6</v>
      </c>
      <c r="G17" s="1583">
        <f t="shared" si="4"/>
        <v>0.6</v>
      </c>
      <c r="H17" s="1583"/>
      <c r="I17" s="1116"/>
      <c r="J17" s="1116"/>
      <c r="K17" s="1583"/>
      <c r="L17" s="1583"/>
      <c r="M17" s="1583"/>
      <c r="N17" s="1583"/>
      <c r="O17" s="1583"/>
      <c r="P17" s="1583">
        <f>C17+H17-J17</f>
        <v>1.087</v>
      </c>
    </row>
    <row r="18" spans="1:16" s="1579" customFormat="1" ht="23.25" customHeight="1">
      <c r="A18" s="1581">
        <v>3</v>
      </c>
      <c r="B18" s="1586" t="s">
        <v>746</v>
      </c>
      <c r="C18" s="1116">
        <f>SUM(C19:C21)</f>
        <v>89.378231999999997</v>
      </c>
      <c r="D18" s="1116">
        <f>SUM(D19:D21)</f>
        <v>50.6</v>
      </c>
      <c r="E18" s="1116">
        <f>SUM(E19:E21)</f>
        <v>0</v>
      </c>
      <c r="F18" s="1116">
        <f>SUM(F19:F21)</f>
        <v>44.5</v>
      </c>
      <c r="G18" s="1116">
        <f>SUM(G19:G21)</f>
        <v>6.1</v>
      </c>
      <c r="H18" s="1116">
        <v>931.84481800000003</v>
      </c>
      <c r="I18" s="1116"/>
      <c r="J18" s="1116">
        <v>842.8</v>
      </c>
      <c r="K18" s="1116">
        <f>H18-J18</f>
        <v>89.044818000000078</v>
      </c>
      <c r="L18" s="1116"/>
      <c r="M18" s="1116"/>
      <c r="N18" s="1116"/>
      <c r="O18" s="1116"/>
      <c r="P18" s="1116">
        <f>C18+H18-J18</f>
        <v>178.4230500000001</v>
      </c>
    </row>
    <row r="19" spans="1:16" s="1579" customFormat="1" ht="0.75" hidden="1" customHeight="1">
      <c r="A19" s="1581" t="s">
        <v>1378</v>
      </c>
      <c r="B19" s="1582" t="s">
        <v>309</v>
      </c>
      <c r="C19" s="1116">
        <v>20.482232</v>
      </c>
      <c r="D19" s="1116">
        <v>8</v>
      </c>
      <c r="E19" s="1116"/>
      <c r="F19" s="1116">
        <v>7.5</v>
      </c>
      <c r="G19" s="1583">
        <f t="shared" ref="G19:G21" si="7">D19-F19</f>
        <v>0.5</v>
      </c>
      <c r="H19" s="1116"/>
      <c r="I19" s="1116"/>
      <c r="J19" s="1116"/>
      <c r="K19" s="1583"/>
      <c r="L19" s="1116"/>
      <c r="M19" s="1116"/>
      <c r="N19" s="1116"/>
      <c r="O19" s="1116"/>
      <c r="P19" s="1583">
        <f t="shared" ref="P19:P21" si="8">C19+H19-J19</f>
        <v>20.482232</v>
      </c>
    </row>
    <row r="20" spans="1:16" s="1579" customFormat="1" ht="21.75" hidden="1" customHeight="1">
      <c r="A20" s="1581" t="s">
        <v>1379</v>
      </c>
      <c r="B20" s="1582" t="s">
        <v>557</v>
      </c>
      <c r="C20" s="1116">
        <v>23.097000000000001</v>
      </c>
      <c r="D20" s="1116">
        <v>35</v>
      </c>
      <c r="E20" s="1116"/>
      <c r="F20" s="1116">
        <v>35</v>
      </c>
      <c r="G20" s="1583">
        <f t="shared" si="7"/>
        <v>0</v>
      </c>
      <c r="H20" s="1583"/>
      <c r="I20" s="1116"/>
      <c r="J20" s="1116"/>
      <c r="K20" s="1583"/>
      <c r="L20" s="1583"/>
      <c r="M20" s="1583"/>
      <c r="N20" s="1583"/>
      <c r="O20" s="1583"/>
      <c r="P20" s="1583">
        <f t="shared" si="8"/>
        <v>23.097000000000001</v>
      </c>
    </row>
    <row r="21" spans="1:16" s="1579" customFormat="1" ht="21.75" hidden="1" customHeight="1">
      <c r="A21" s="1581" t="s">
        <v>1380</v>
      </c>
      <c r="B21" s="1582" t="s">
        <v>1376</v>
      </c>
      <c r="C21" s="1116">
        <v>45.798999999999999</v>
      </c>
      <c r="D21" s="1116">
        <v>7.6</v>
      </c>
      <c r="E21" s="1116"/>
      <c r="F21" s="1116">
        <v>2</v>
      </c>
      <c r="G21" s="1583">
        <f t="shared" si="7"/>
        <v>5.6</v>
      </c>
      <c r="H21" s="1583"/>
      <c r="I21" s="1116"/>
      <c r="J21" s="1116"/>
      <c r="K21" s="1583"/>
      <c r="L21" s="1583"/>
      <c r="M21" s="1583"/>
      <c r="N21" s="1583"/>
      <c r="O21" s="1583"/>
      <c r="P21" s="1583">
        <f t="shared" si="8"/>
        <v>45.798999999999999</v>
      </c>
    </row>
    <row r="22" spans="1:16" s="1579" customFormat="1" ht="24.75" customHeight="1">
      <c r="A22" s="1581">
        <v>4</v>
      </c>
      <c r="B22" s="1586" t="s">
        <v>576</v>
      </c>
      <c r="C22" s="1116">
        <f t="shared" ref="C22:K22" si="9">SUM(C23:C24)</f>
        <v>44.3429</v>
      </c>
      <c r="D22" s="1116">
        <f t="shared" si="9"/>
        <v>35.5</v>
      </c>
      <c r="E22" s="1116">
        <f t="shared" si="9"/>
        <v>0</v>
      </c>
      <c r="F22" s="1116">
        <f t="shared" si="9"/>
        <v>34.700000000000003</v>
      </c>
      <c r="G22" s="1116">
        <f t="shared" si="9"/>
        <v>0.79999999999999982</v>
      </c>
      <c r="H22" s="1116">
        <f t="shared" si="9"/>
        <v>0</v>
      </c>
      <c r="I22" s="1116"/>
      <c r="J22" s="1116">
        <f>C22</f>
        <v>44.3429</v>
      </c>
      <c r="K22" s="1116">
        <f t="shared" si="9"/>
        <v>0</v>
      </c>
      <c r="L22" s="1116"/>
      <c r="M22" s="1116"/>
      <c r="N22" s="1116"/>
      <c r="O22" s="1116"/>
      <c r="P22" s="1116">
        <f>C22+H22-J22</f>
        <v>0</v>
      </c>
    </row>
    <row r="23" spans="1:16" s="1579" customFormat="1" ht="21.75" hidden="1" customHeight="1">
      <c r="A23" s="1581" t="s">
        <v>1381</v>
      </c>
      <c r="B23" s="1582" t="s">
        <v>309</v>
      </c>
      <c r="C23" s="1116">
        <v>4.0088999999999997</v>
      </c>
      <c r="D23" s="1116">
        <v>5.5</v>
      </c>
      <c r="E23" s="1116"/>
      <c r="F23" s="1116">
        <v>4.7</v>
      </c>
      <c r="G23" s="1583">
        <f t="shared" ref="G23:G24" si="10">D23-F23</f>
        <v>0.79999999999999982</v>
      </c>
      <c r="H23" s="1116"/>
      <c r="I23" s="1116"/>
      <c r="J23" s="1116"/>
      <c r="K23" s="1583"/>
      <c r="L23" s="1116"/>
      <c r="M23" s="1116"/>
      <c r="N23" s="1116"/>
      <c r="O23" s="1116"/>
      <c r="P23" s="1583">
        <f t="shared" ref="P23:P24" si="11">C23+H23-J23</f>
        <v>4.0088999999999997</v>
      </c>
    </row>
    <row r="24" spans="1:16" s="1579" customFormat="1" ht="21.75" hidden="1" customHeight="1">
      <c r="A24" s="1581" t="s">
        <v>1382</v>
      </c>
      <c r="B24" s="1582" t="s">
        <v>557</v>
      </c>
      <c r="C24" s="1116">
        <v>40.334000000000003</v>
      </c>
      <c r="D24" s="1116">
        <v>30</v>
      </c>
      <c r="E24" s="1116"/>
      <c r="F24" s="1116">
        <v>30</v>
      </c>
      <c r="G24" s="1583">
        <f t="shared" si="10"/>
        <v>0</v>
      </c>
      <c r="H24" s="1583"/>
      <c r="I24" s="1116"/>
      <c r="J24" s="1116"/>
      <c r="K24" s="1583"/>
      <c r="L24" s="1583"/>
      <c r="M24" s="1583"/>
      <c r="N24" s="1583"/>
      <c r="O24" s="1583"/>
      <c r="P24" s="1583">
        <f t="shared" si="11"/>
        <v>40.334000000000003</v>
      </c>
    </row>
    <row r="25" spans="1:16" s="1579" customFormat="1" ht="21.75" customHeight="1">
      <c r="A25" s="1581">
        <v>5</v>
      </c>
      <c r="B25" s="1586" t="s">
        <v>1375</v>
      </c>
      <c r="C25" s="1116">
        <f t="shared" ref="C25:K25" si="12">SUM(C26:C27)</f>
        <v>14.51</v>
      </c>
      <c r="D25" s="1116">
        <f t="shared" si="12"/>
        <v>11.7</v>
      </c>
      <c r="E25" s="1116">
        <f t="shared" si="12"/>
        <v>0</v>
      </c>
      <c r="F25" s="1116">
        <f t="shared" si="12"/>
        <v>7</v>
      </c>
      <c r="G25" s="1116">
        <f t="shared" si="12"/>
        <v>4.7</v>
      </c>
      <c r="H25" s="1116">
        <f t="shared" si="12"/>
        <v>0</v>
      </c>
      <c r="I25" s="1116"/>
      <c r="J25" s="1116">
        <f>C25</f>
        <v>14.51</v>
      </c>
      <c r="K25" s="1116">
        <f t="shared" si="12"/>
        <v>0</v>
      </c>
      <c r="L25" s="1116"/>
      <c r="M25" s="1116"/>
      <c r="N25" s="1116"/>
      <c r="O25" s="1116"/>
      <c r="P25" s="1116">
        <f>C25+H25-J25</f>
        <v>0</v>
      </c>
    </row>
    <row r="26" spans="1:16" s="1579" customFormat="1" ht="21.75" hidden="1" customHeight="1">
      <c r="A26" s="1581" t="s">
        <v>1383</v>
      </c>
      <c r="B26" s="1582" t="s">
        <v>309</v>
      </c>
      <c r="C26" s="1116">
        <v>10.5</v>
      </c>
      <c r="D26" s="1116">
        <v>6.7</v>
      </c>
      <c r="E26" s="1116"/>
      <c r="F26" s="1116">
        <v>4</v>
      </c>
      <c r="G26" s="1583">
        <f t="shared" ref="G26:G27" si="13">D26-F26</f>
        <v>2.7</v>
      </c>
      <c r="H26" s="1116"/>
      <c r="I26" s="1116"/>
      <c r="J26" s="1116"/>
      <c r="K26" s="1583"/>
      <c r="L26" s="1116"/>
      <c r="M26" s="1116"/>
      <c r="N26" s="1116"/>
      <c r="O26" s="1116"/>
      <c r="P26" s="1583">
        <f t="shared" ref="P26:P27" si="14">C26+H26-J26</f>
        <v>10.5</v>
      </c>
    </row>
    <row r="27" spans="1:16" s="1579" customFormat="1" ht="21.75" hidden="1" customHeight="1">
      <c r="A27" s="1581" t="s">
        <v>1384</v>
      </c>
      <c r="B27" s="1582" t="s">
        <v>557</v>
      </c>
      <c r="C27" s="1116">
        <v>4.01</v>
      </c>
      <c r="D27" s="1116">
        <v>5</v>
      </c>
      <c r="E27" s="1116"/>
      <c r="F27" s="1116">
        <v>3</v>
      </c>
      <c r="G27" s="1583">
        <f t="shared" si="13"/>
        <v>2</v>
      </c>
      <c r="H27" s="1583"/>
      <c r="I27" s="1116"/>
      <c r="J27" s="1116"/>
      <c r="K27" s="1583"/>
      <c r="L27" s="1583"/>
      <c r="M27" s="1583"/>
      <c r="N27" s="1583"/>
      <c r="O27" s="1583"/>
      <c r="P27" s="1583">
        <f t="shared" si="14"/>
        <v>4.01</v>
      </c>
    </row>
    <row r="28" spans="1:16" s="1579" customFormat="1" ht="24.95" customHeight="1">
      <c r="A28" s="1581">
        <v>6</v>
      </c>
      <c r="B28" s="1586" t="s">
        <v>579</v>
      </c>
      <c r="C28" s="1116">
        <f t="shared" ref="C28:K28" si="15">SUM(C29:C30)</f>
        <v>20.497999999999998</v>
      </c>
      <c r="D28" s="1116">
        <f t="shared" si="15"/>
        <v>12.8</v>
      </c>
      <c r="E28" s="1116">
        <f t="shared" si="15"/>
        <v>0</v>
      </c>
      <c r="F28" s="1116">
        <f t="shared" si="15"/>
        <v>12.9</v>
      </c>
      <c r="G28" s="1116">
        <f t="shared" si="15"/>
        <v>-0.10000000000000009</v>
      </c>
      <c r="H28" s="1116">
        <f t="shared" si="15"/>
        <v>0</v>
      </c>
      <c r="I28" s="1116"/>
      <c r="J28" s="1116">
        <f>C28</f>
        <v>20.497999999999998</v>
      </c>
      <c r="K28" s="1116">
        <f t="shared" si="15"/>
        <v>0</v>
      </c>
      <c r="L28" s="1116"/>
      <c r="M28" s="1116"/>
      <c r="N28" s="1116"/>
      <c r="O28" s="1116"/>
      <c r="P28" s="1116">
        <f>C28+H28-J28</f>
        <v>0</v>
      </c>
    </row>
    <row r="29" spans="1:16" s="1579" customFormat="1" ht="21.75" hidden="1" customHeight="1">
      <c r="A29" s="1581" t="s">
        <v>1385</v>
      </c>
      <c r="B29" s="1582" t="s">
        <v>309</v>
      </c>
      <c r="C29" s="1116">
        <v>10.795</v>
      </c>
      <c r="D29" s="1116">
        <v>2.8</v>
      </c>
      <c r="E29" s="1116"/>
      <c r="F29" s="1116">
        <v>2.9</v>
      </c>
      <c r="G29" s="1583">
        <f t="shared" ref="G29:G30" si="16">D29-F29</f>
        <v>-0.10000000000000009</v>
      </c>
      <c r="H29" s="1116"/>
      <c r="I29" s="1116"/>
      <c r="J29" s="1116"/>
      <c r="K29" s="1583"/>
      <c r="L29" s="1116">
        <f>N29+O29</f>
        <v>3.8</v>
      </c>
      <c r="M29" s="1116"/>
      <c r="N29" s="1116">
        <v>2.9</v>
      </c>
      <c r="O29" s="1116">
        <v>0.9</v>
      </c>
      <c r="P29" s="1583">
        <f t="shared" ref="P29:P30" si="17">C29+H29-J29</f>
        <v>10.795</v>
      </c>
    </row>
    <row r="30" spans="1:16" s="1579" customFormat="1" ht="21.75" hidden="1" customHeight="1">
      <c r="A30" s="1581" t="s">
        <v>1386</v>
      </c>
      <c r="B30" s="1582" t="s">
        <v>557</v>
      </c>
      <c r="C30" s="1116">
        <v>9.7029999999999994</v>
      </c>
      <c r="D30" s="1116">
        <v>10</v>
      </c>
      <c r="E30" s="1116"/>
      <c r="F30" s="1116">
        <v>10</v>
      </c>
      <c r="G30" s="1583">
        <f t="shared" si="16"/>
        <v>0</v>
      </c>
      <c r="H30" s="1583"/>
      <c r="I30" s="1116"/>
      <c r="J30" s="1116"/>
      <c r="K30" s="1583"/>
      <c r="L30" s="1583">
        <v>10</v>
      </c>
      <c r="M30" s="1583"/>
      <c r="N30" s="1583">
        <v>10</v>
      </c>
      <c r="O30" s="1583"/>
      <c r="P30" s="1583">
        <f t="shared" si="17"/>
        <v>9.7029999999999994</v>
      </c>
    </row>
    <row r="31" spans="1:16" s="1579" customFormat="1" ht="20.25" customHeight="1">
      <c r="A31" s="1584" t="s">
        <v>292</v>
      </c>
      <c r="B31" s="1589" t="s">
        <v>1042</v>
      </c>
      <c r="C31" s="1590">
        <v>0</v>
      </c>
      <c r="D31" s="1590"/>
      <c r="E31" s="1590"/>
      <c r="F31" s="1590"/>
      <c r="G31" s="1590"/>
      <c r="H31" s="1590">
        <v>2078.6970489999999</v>
      </c>
      <c r="I31" s="1590"/>
      <c r="J31" s="1590">
        <v>999</v>
      </c>
      <c r="K31" s="1590"/>
      <c r="L31" s="1590"/>
      <c r="M31" s="1590"/>
      <c r="N31" s="1590"/>
      <c r="O31" s="1590"/>
      <c r="P31" s="1590">
        <f>C31+H31-J31</f>
        <v>1079.6970489999999</v>
      </c>
    </row>
  </sheetData>
  <mergeCells count="21">
    <mergeCell ref="K6:K7"/>
    <mergeCell ref="L6:M6"/>
    <mergeCell ref="N6:N7"/>
    <mergeCell ref="O6:O7"/>
    <mergeCell ref="K4:P4"/>
    <mergeCell ref="A1:B1"/>
    <mergeCell ref="O1:P1"/>
    <mergeCell ref="A5:A7"/>
    <mergeCell ref="B5:B7"/>
    <mergeCell ref="C5:C7"/>
    <mergeCell ref="D5:G5"/>
    <mergeCell ref="H5:K5"/>
    <mergeCell ref="L5:O5"/>
    <mergeCell ref="P5:P7"/>
    <mergeCell ref="D6:E6"/>
    <mergeCell ref="F6:F7"/>
    <mergeCell ref="G6:G7"/>
    <mergeCell ref="H6:I6"/>
    <mergeCell ref="J6:J7"/>
    <mergeCell ref="A2:P2"/>
    <mergeCell ref="A3:P3"/>
  </mergeCells>
  <phoneticPr fontId="32" type="noConversion"/>
  <pageMargins left="1.1023622047244095" right="0.15748031496062992" top="0.82677165354330717" bottom="0.31496062992125984" header="0.82677165354330717" footer="0.23622047244094491"/>
  <pageSetup paperSize="8" firstPageNumber="172" orientation="landscape" useFirstPageNumber="1"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C000"/>
  </sheetPr>
  <dimension ref="A1:F32"/>
  <sheetViews>
    <sheetView tabSelected="1" workbookViewId="0">
      <selection activeCell="I17" sqref="I17"/>
    </sheetView>
  </sheetViews>
  <sheetFormatPr defaultColWidth="9.28515625" defaultRowHeight="15"/>
  <cols>
    <col min="1" max="1" width="6.28515625" style="857" customWidth="1"/>
    <col min="2" max="2" width="42" style="857" customWidth="1"/>
    <col min="3" max="4" width="16.28515625" style="857" customWidth="1"/>
    <col min="5" max="5" width="10.5703125" style="857" customWidth="1"/>
    <col min="6" max="16384" width="9.28515625" style="857"/>
  </cols>
  <sheetData>
    <row r="1" spans="1:5" ht="26.25" customHeight="1">
      <c r="A1" s="1796" t="str">
        <f>+'53'!A1</f>
        <v>UBND xã Trần Phú</v>
      </c>
      <c r="B1" s="1797"/>
      <c r="D1" s="1798" t="s">
        <v>1141</v>
      </c>
      <c r="E1" s="1798"/>
    </row>
    <row r="2" spans="1:5" s="1298" customFormat="1" ht="33" customHeight="1">
      <c r="A2" s="1799" t="s">
        <v>1138</v>
      </c>
      <c r="B2" s="1799"/>
      <c r="C2" s="1799"/>
      <c r="D2" s="1799"/>
      <c r="E2" s="1799"/>
    </row>
    <row r="3" spans="1:5" s="1298" customFormat="1" ht="21.75" customHeight="1">
      <c r="A3" s="1800" t="s">
        <v>436</v>
      </c>
      <c r="B3" s="1800"/>
      <c r="C3" s="1800"/>
      <c r="D3" s="1800"/>
      <c r="E3" s="1800"/>
    </row>
    <row r="4" spans="1:5" s="1298" customFormat="1" ht="21.75" customHeight="1">
      <c r="A4" s="1802" t="str">
        <f>'63'!A3:P3</f>
        <v>(Kèm theo Quyết định số      /QĐ-UBND ngày 15/04/2026 nhân dân xã Trần Phú)</v>
      </c>
      <c r="B4" s="1802"/>
      <c r="C4" s="1802"/>
      <c r="D4" s="1802"/>
      <c r="E4" s="1802"/>
    </row>
    <row r="5" spans="1:5" ht="19.5" customHeight="1">
      <c r="E5" s="90" t="s">
        <v>312</v>
      </c>
    </row>
    <row r="6" spans="1:5" ht="79.5" customHeight="1">
      <c r="A6" s="91" t="s">
        <v>313</v>
      </c>
      <c r="B6" s="91" t="s">
        <v>314</v>
      </c>
      <c r="C6" s="91" t="s">
        <v>1039</v>
      </c>
      <c r="D6" s="91" t="s">
        <v>1139</v>
      </c>
      <c r="E6" s="91" t="s">
        <v>167</v>
      </c>
    </row>
    <row r="7" spans="1:5" s="859" customFormat="1" ht="20.25" customHeight="1">
      <c r="A7" s="858" t="s">
        <v>316</v>
      </c>
      <c r="B7" s="858" t="s">
        <v>317</v>
      </c>
      <c r="C7" s="858">
        <v>1</v>
      </c>
      <c r="D7" s="858">
        <v>2</v>
      </c>
      <c r="E7" s="858" t="s">
        <v>236</v>
      </c>
    </row>
    <row r="8" spans="1:5" s="843" customFormat="1" ht="30" customHeight="1">
      <c r="A8" s="91"/>
      <c r="B8" s="844" t="s">
        <v>472</v>
      </c>
      <c r="C8" s="1300">
        <f>+C9+C15+C17+C18+C19+C20</f>
        <v>50.658000000000001</v>
      </c>
      <c r="D8" s="1300">
        <f>D9+D15+D16+D17+D18+D19+D20</f>
        <v>14.1129</v>
      </c>
      <c r="E8" s="1301">
        <f>D8/C8*100</f>
        <v>27.859173279639936</v>
      </c>
    </row>
    <row r="9" spans="1:5" s="89" customFormat="1" ht="30" customHeight="1">
      <c r="A9" s="853">
        <v>1</v>
      </c>
      <c r="B9" s="854" t="s">
        <v>437</v>
      </c>
      <c r="C9" s="855">
        <f>+C10+C14</f>
        <v>50.658000000000001</v>
      </c>
      <c r="D9" s="855">
        <f>+D10+D14</f>
        <v>14.1129</v>
      </c>
      <c r="E9" s="856">
        <f>D9/C9*100</f>
        <v>27.859173279639936</v>
      </c>
    </row>
    <row r="10" spans="1:5" s="89" customFormat="1" ht="30" customHeight="1">
      <c r="A10" s="845" t="s">
        <v>73</v>
      </c>
      <c r="B10" s="850" t="s">
        <v>374</v>
      </c>
      <c r="C10" s="1299">
        <f>+SUM(C11:C13)</f>
        <v>50.658000000000001</v>
      </c>
      <c r="D10" s="1299">
        <f>+SUM(D11:D13)</f>
        <v>14.1129</v>
      </c>
      <c r="E10" s="852">
        <f>D10/C10*100</f>
        <v>27.859173279639936</v>
      </c>
    </row>
    <row r="11" spans="1:5" s="89" customFormat="1" ht="31.15" customHeight="1">
      <c r="A11" s="845"/>
      <c r="B11" s="846" t="s">
        <v>1343</v>
      </c>
      <c r="C11" s="851">
        <v>20</v>
      </c>
      <c r="D11" s="851">
        <v>3.9329999999999998</v>
      </c>
      <c r="E11" s="852">
        <f t="shared" ref="E11:E13" si="0">D11/C11*100</f>
        <v>19.664999999999999</v>
      </c>
    </row>
    <row r="12" spans="1:5" s="89" customFormat="1" ht="31.15" customHeight="1">
      <c r="A12" s="845"/>
      <c r="B12" s="846" t="s">
        <v>1344</v>
      </c>
      <c r="C12" s="851">
        <v>12.657999999999999</v>
      </c>
      <c r="D12" s="851">
        <v>3.3252999999999999</v>
      </c>
      <c r="E12" s="852">
        <f t="shared" si="0"/>
        <v>26.270342866171593</v>
      </c>
    </row>
    <row r="13" spans="1:5" s="89" customFormat="1" ht="31.15" customHeight="1">
      <c r="A13" s="845"/>
      <c r="B13" s="846" t="s">
        <v>1345</v>
      </c>
      <c r="C13" s="851">
        <v>18</v>
      </c>
      <c r="D13" s="851">
        <v>6.8545999999999996</v>
      </c>
      <c r="E13" s="852">
        <f t="shared" si="0"/>
        <v>38.081111111111113</v>
      </c>
    </row>
    <row r="14" spans="1:5" s="89" customFormat="1" ht="31.15" customHeight="1">
      <c r="A14" s="845" t="s">
        <v>73</v>
      </c>
      <c r="B14" s="850" t="s">
        <v>375</v>
      </c>
      <c r="C14" s="851">
        <v>0</v>
      </c>
      <c r="D14" s="851">
        <v>0</v>
      </c>
      <c r="E14" s="852"/>
    </row>
    <row r="15" spans="1:5" s="89" customFormat="1" ht="30" customHeight="1">
      <c r="A15" s="845">
        <v>2</v>
      </c>
      <c r="B15" s="846" t="s">
        <v>376</v>
      </c>
      <c r="C15" s="851">
        <f>D15</f>
        <v>0</v>
      </c>
      <c r="D15" s="851">
        <v>0</v>
      </c>
      <c r="E15" s="852"/>
    </row>
    <row r="16" spans="1:5" s="89" customFormat="1" ht="30" customHeight="1">
      <c r="A16" s="845">
        <v>3</v>
      </c>
      <c r="B16" s="846" t="s">
        <v>377</v>
      </c>
      <c r="C16" s="851">
        <f>D16</f>
        <v>0</v>
      </c>
      <c r="D16" s="851">
        <v>0</v>
      </c>
      <c r="E16" s="852"/>
    </row>
    <row r="17" spans="1:6" s="89" customFormat="1" ht="30" customHeight="1">
      <c r="A17" s="845">
        <v>4</v>
      </c>
      <c r="B17" s="846" t="s">
        <v>262</v>
      </c>
      <c r="C17" s="851">
        <f>D17</f>
        <v>0</v>
      </c>
      <c r="D17" s="851">
        <v>0</v>
      </c>
      <c r="E17" s="852"/>
    </row>
    <row r="18" spans="1:6" s="89" customFormat="1" ht="30" customHeight="1">
      <c r="A18" s="845">
        <v>5</v>
      </c>
      <c r="B18" s="846" t="s">
        <v>438</v>
      </c>
      <c r="C18" s="851">
        <v>0</v>
      </c>
      <c r="D18" s="851">
        <f>+C18</f>
        <v>0</v>
      </c>
      <c r="E18" s="852"/>
    </row>
    <row r="19" spans="1:6" ht="30" customHeight="1">
      <c r="A19" s="845">
        <v>6</v>
      </c>
      <c r="B19" s="846" t="s">
        <v>263</v>
      </c>
      <c r="C19" s="851">
        <f>D19</f>
        <v>0</v>
      </c>
      <c r="D19" s="851">
        <v>0</v>
      </c>
      <c r="E19" s="852"/>
    </row>
    <row r="20" spans="1:6" ht="30" customHeight="1">
      <c r="A20" s="847">
        <v>7</v>
      </c>
      <c r="B20" s="848" t="s">
        <v>650</v>
      </c>
      <c r="C20" s="860">
        <v>0</v>
      </c>
      <c r="D20" s="860">
        <f>+C20</f>
        <v>0</v>
      </c>
      <c r="E20" s="861"/>
    </row>
    <row r="22" spans="1:6" ht="24" hidden="1" customHeight="1">
      <c r="C22" s="1801" t="s">
        <v>1140</v>
      </c>
      <c r="D22" s="1801"/>
      <c r="E22" s="1801"/>
    </row>
    <row r="23" spans="1:6" ht="15.75" hidden="1" customHeight="1">
      <c r="C23" s="1795" t="s">
        <v>233</v>
      </c>
      <c r="D23" s="1795"/>
      <c r="E23" s="1795"/>
      <c r="F23" s="862"/>
    </row>
    <row r="24" spans="1:6" ht="15.75" hidden="1" customHeight="1">
      <c r="C24" s="1795" t="s">
        <v>234</v>
      </c>
      <c r="D24" s="1795"/>
      <c r="E24" s="1795"/>
      <c r="F24" s="862"/>
    </row>
    <row r="25" spans="1:6" ht="15.75" hidden="1" customHeight="1">
      <c r="C25" s="1794" t="s">
        <v>151</v>
      </c>
      <c r="D25" s="1794"/>
      <c r="E25" s="1794"/>
      <c r="F25" s="392"/>
    </row>
    <row r="26" spans="1:6" ht="15.75" hidden="1" customHeight="1">
      <c r="C26" s="58"/>
      <c r="D26" s="391"/>
      <c r="E26" s="219"/>
      <c r="F26" s="28"/>
    </row>
    <row r="27" spans="1:6" ht="15.75" hidden="1" customHeight="1">
      <c r="C27" s="58"/>
      <c r="D27" s="391"/>
      <c r="E27" s="219"/>
      <c r="F27" s="28"/>
    </row>
    <row r="28" spans="1:6" hidden="1">
      <c r="C28" s="58"/>
      <c r="D28" s="391"/>
      <c r="E28" s="219"/>
      <c r="F28" s="28"/>
    </row>
    <row r="29" spans="1:6">
      <c r="C29" s="58"/>
      <c r="D29" s="391"/>
      <c r="E29" s="219"/>
      <c r="F29" s="28"/>
    </row>
    <row r="30" spans="1:6">
      <c r="C30" s="58"/>
      <c r="D30" s="391"/>
      <c r="E30" s="58"/>
      <c r="F30" s="28"/>
    </row>
    <row r="31" spans="1:6" ht="15.75" customHeight="1">
      <c r="C31" s="58"/>
      <c r="D31" s="391"/>
      <c r="E31" s="219"/>
      <c r="F31" s="28"/>
    </row>
    <row r="32" spans="1:6" ht="18.75" customHeight="1">
      <c r="C32" s="1795"/>
      <c r="D32" s="1795"/>
      <c r="E32" s="1795"/>
      <c r="F32" s="863"/>
    </row>
  </sheetData>
  <mergeCells count="10">
    <mergeCell ref="C25:E25"/>
    <mergeCell ref="C32:E32"/>
    <mergeCell ref="A1:B1"/>
    <mergeCell ref="D1:E1"/>
    <mergeCell ref="C24:E24"/>
    <mergeCell ref="A2:E2"/>
    <mergeCell ref="A3:E3"/>
    <mergeCell ref="C22:E22"/>
    <mergeCell ref="C23:E23"/>
    <mergeCell ref="A4:E4"/>
  </mergeCells>
  <phoneticPr fontId="32" type="noConversion"/>
  <pageMargins left="0.86" right="0.2" top="0.75" bottom="0.75" header="0.3" footer="0.3"/>
  <pageSetup paperSize="9" firstPageNumber="157" orientation="portrait" useFirstPageNumber="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33"/>
  <sheetViews>
    <sheetView workbookViewId="0">
      <selection activeCell="G10" sqref="G10"/>
    </sheetView>
  </sheetViews>
  <sheetFormatPr defaultRowHeight="12.75"/>
  <cols>
    <col min="1" max="1" width="5.42578125" style="411" customWidth="1"/>
    <col min="2" max="2" width="45.7109375" style="411" customWidth="1"/>
    <col min="3" max="3" width="35.140625" style="411" customWidth="1"/>
    <col min="4" max="5" width="20.140625" style="411" customWidth="1"/>
    <col min="6" max="6" width="20.140625" style="411" hidden="1" customWidth="1"/>
    <col min="7" max="7" width="20.140625" style="411" customWidth="1"/>
    <col min="8" max="8" width="22.140625" style="486" hidden="1" customWidth="1"/>
    <col min="9" max="9" width="21.28515625" style="411" hidden="1" customWidth="1"/>
    <col min="10" max="10" width="20.7109375" style="411" hidden="1" customWidth="1"/>
    <col min="11" max="11" width="13" style="411" hidden="1" customWidth="1"/>
    <col min="12" max="12" width="0" style="411" hidden="1" customWidth="1"/>
    <col min="13" max="13" width="14.7109375" style="411" customWidth="1"/>
    <col min="14" max="14" width="14.5703125" style="411" customWidth="1"/>
    <col min="15" max="256" width="9.140625" style="411"/>
    <col min="257" max="257" width="5.42578125" style="411" customWidth="1"/>
    <col min="258" max="258" width="45.7109375" style="411" customWidth="1"/>
    <col min="259" max="259" width="35.140625" style="411" customWidth="1"/>
    <col min="260" max="261" width="20.140625" style="411" customWidth="1"/>
    <col min="262" max="262" width="0" style="411" hidden="1" customWidth="1"/>
    <col min="263" max="263" width="20.140625" style="411" customWidth="1"/>
    <col min="264" max="268" width="0" style="411" hidden="1" customWidth="1"/>
    <col min="269" max="269" width="14.7109375" style="411" customWidth="1"/>
    <col min="270" max="270" width="14.5703125" style="411" customWidth="1"/>
    <col min="271" max="512" width="9.140625" style="411"/>
    <col min="513" max="513" width="5.42578125" style="411" customWidth="1"/>
    <col min="514" max="514" width="45.7109375" style="411" customWidth="1"/>
    <col min="515" max="515" width="35.140625" style="411" customWidth="1"/>
    <col min="516" max="517" width="20.140625" style="411" customWidth="1"/>
    <col min="518" max="518" width="0" style="411" hidden="1" customWidth="1"/>
    <col min="519" max="519" width="20.140625" style="411" customWidth="1"/>
    <col min="520" max="524" width="0" style="411" hidden="1" customWidth="1"/>
    <col min="525" max="525" width="14.7109375" style="411" customWidth="1"/>
    <col min="526" max="526" width="14.5703125" style="411" customWidth="1"/>
    <col min="527" max="768" width="9.140625" style="411"/>
    <col min="769" max="769" width="5.42578125" style="411" customWidth="1"/>
    <col min="770" max="770" width="45.7109375" style="411" customWidth="1"/>
    <col min="771" max="771" width="35.140625" style="411" customWidth="1"/>
    <col min="772" max="773" width="20.140625" style="411" customWidth="1"/>
    <col min="774" max="774" width="0" style="411" hidden="1" customWidth="1"/>
    <col min="775" max="775" width="20.140625" style="411" customWidth="1"/>
    <col min="776" max="780" width="0" style="411" hidden="1" customWidth="1"/>
    <col min="781" max="781" width="14.7109375" style="411" customWidth="1"/>
    <col min="782" max="782" width="14.5703125" style="411" customWidth="1"/>
    <col min="783" max="1024" width="9.140625" style="411"/>
    <col min="1025" max="1025" width="5.42578125" style="411" customWidth="1"/>
    <col min="1026" max="1026" width="45.7109375" style="411" customWidth="1"/>
    <col min="1027" max="1027" width="35.140625" style="411" customWidth="1"/>
    <col min="1028" max="1029" width="20.140625" style="411" customWidth="1"/>
    <col min="1030" max="1030" width="0" style="411" hidden="1" customWidth="1"/>
    <col min="1031" max="1031" width="20.140625" style="411" customWidth="1"/>
    <col min="1032" max="1036" width="0" style="411" hidden="1" customWidth="1"/>
    <col min="1037" max="1037" width="14.7109375" style="411" customWidth="1"/>
    <col min="1038" max="1038" width="14.5703125" style="411" customWidth="1"/>
    <col min="1039" max="1280" width="9.140625" style="411"/>
    <col min="1281" max="1281" width="5.42578125" style="411" customWidth="1"/>
    <col min="1282" max="1282" width="45.7109375" style="411" customWidth="1"/>
    <col min="1283" max="1283" width="35.140625" style="411" customWidth="1"/>
    <col min="1284" max="1285" width="20.140625" style="411" customWidth="1"/>
    <col min="1286" max="1286" width="0" style="411" hidden="1" customWidth="1"/>
    <col min="1287" max="1287" width="20.140625" style="411" customWidth="1"/>
    <col min="1288" max="1292" width="0" style="411" hidden="1" customWidth="1"/>
    <col min="1293" max="1293" width="14.7109375" style="411" customWidth="1"/>
    <col min="1294" max="1294" width="14.5703125" style="411" customWidth="1"/>
    <col min="1295" max="1536" width="9.140625" style="411"/>
    <col min="1537" max="1537" width="5.42578125" style="411" customWidth="1"/>
    <col min="1538" max="1538" width="45.7109375" style="411" customWidth="1"/>
    <col min="1539" max="1539" width="35.140625" style="411" customWidth="1"/>
    <col min="1540" max="1541" width="20.140625" style="411" customWidth="1"/>
    <col min="1542" max="1542" width="0" style="411" hidden="1" customWidth="1"/>
    <col min="1543" max="1543" width="20.140625" style="411" customWidth="1"/>
    <col min="1544" max="1548" width="0" style="411" hidden="1" customWidth="1"/>
    <col min="1549" max="1549" width="14.7109375" style="411" customWidth="1"/>
    <col min="1550" max="1550" width="14.5703125" style="411" customWidth="1"/>
    <col min="1551" max="1792" width="9.140625" style="411"/>
    <col min="1793" max="1793" width="5.42578125" style="411" customWidth="1"/>
    <col min="1794" max="1794" width="45.7109375" style="411" customWidth="1"/>
    <col min="1795" max="1795" width="35.140625" style="411" customWidth="1"/>
    <col min="1796" max="1797" width="20.140625" style="411" customWidth="1"/>
    <col min="1798" max="1798" width="0" style="411" hidden="1" customWidth="1"/>
    <col min="1799" max="1799" width="20.140625" style="411" customWidth="1"/>
    <col min="1800" max="1804" width="0" style="411" hidden="1" customWidth="1"/>
    <col min="1805" max="1805" width="14.7109375" style="411" customWidth="1"/>
    <col min="1806" max="1806" width="14.5703125" style="411" customWidth="1"/>
    <col min="1807" max="2048" width="9.140625" style="411"/>
    <col min="2049" max="2049" width="5.42578125" style="411" customWidth="1"/>
    <col min="2050" max="2050" width="45.7109375" style="411" customWidth="1"/>
    <col min="2051" max="2051" width="35.140625" style="411" customWidth="1"/>
    <col min="2052" max="2053" width="20.140625" style="411" customWidth="1"/>
    <col min="2054" max="2054" width="0" style="411" hidden="1" customWidth="1"/>
    <col min="2055" max="2055" width="20.140625" style="411" customWidth="1"/>
    <col min="2056" max="2060" width="0" style="411" hidden="1" customWidth="1"/>
    <col min="2061" max="2061" width="14.7109375" style="411" customWidth="1"/>
    <col min="2062" max="2062" width="14.5703125" style="411" customWidth="1"/>
    <col min="2063" max="2304" width="9.140625" style="411"/>
    <col min="2305" max="2305" width="5.42578125" style="411" customWidth="1"/>
    <col min="2306" max="2306" width="45.7109375" style="411" customWidth="1"/>
    <col min="2307" max="2307" width="35.140625" style="411" customWidth="1"/>
    <col min="2308" max="2309" width="20.140625" style="411" customWidth="1"/>
    <col min="2310" max="2310" width="0" style="411" hidden="1" customWidth="1"/>
    <col min="2311" max="2311" width="20.140625" style="411" customWidth="1"/>
    <col min="2312" max="2316" width="0" style="411" hidden="1" customWidth="1"/>
    <col min="2317" max="2317" width="14.7109375" style="411" customWidth="1"/>
    <col min="2318" max="2318" width="14.5703125" style="411" customWidth="1"/>
    <col min="2319" max="2560" width="9.140625" style="411"/>
    <col min="2561" max="2561" width="5.42578125" style="411" customWidth="1"/>
    <col min="2562" max="2562" width="45.7109375" style="411" customWidth="1"/>
    <col min="2563" max="2563" width="35.140625" style="411" customWidth="1"/>
    <col min="2564" max="2565" width="20.140625" style="411" customWidth="1"/>
    <col min="2566" max="2566" width="0" style="411" hidden="1" customWidth="1"/>
    <col min="2567" max="2567" width="20.140625" style="411" customWidth="1"/>
    <col min="2568" max="2572" width="0" style="411" hidden="1" customWidth="1"/>
    <col min="2573" max="2573" width="14.7109375" style="411" customWidth="1"/>
    <col min="2574" max="2574" width="14.5703125" style="411" customWidth="1"/>
    <col min="2575" max="2816" width="9.140625" style="411"/>
    <col min="2817" max="2817" width="5.42578125" style="411" customWidth="1"/>
    <col min="2818" max="2818" width="45.7109375" style="411" customWidth="1"/>
    <col min="2819" max="2819" width="35.140625" style="411" customWidth="1"/>
    <col min="2820" max="2821" width="20.140625" style="411" customWidth="1"/>
    <col min="2822" max="2822" width="0" style="411" hidden="1" customWidth="1"/>
    <col min="2823" max="2823" width="20.140625" style="411" customWidth="1"/>
    <col min="2824" max="2828" width="0" style="411" hidden="1" customWidth="1"/>
    <col min="2829" max="2829" width="14.7109375" style="411" customWidth="1"/>
    <col min="2830" max="2830" width="14.5703125" style="411" customWidth="1"/>
    <col min="2831" max="3072" width="9.140625" style="411"/>
    <col min="3073" max="3073" width="5.42578125" style="411" customWidth="1"/>
    <col min="3074" max="3074" width="45.7109375" style="411" customWidth="1"/>
    <col min="3075" max="3075" width="35.140625" style="411" customWidth="1"/>
    <col min="3076" max="3077" width="20.140625" style="411" customWidth="1"/>
    <col min="3078" max="3078" width="0" style="411" hidden="1" customWidth="1"/>
    <col min="3079" max="3079" width="20.140625" style="411" customWidth="1"/>
    <col min="3080" max="3084" width="0" style="411" hidden="1" customWidth="1"/>
    <col min="3085" max="3085" width="14.7109375" style="411" customWidth="1"/>
    <col min="3086" max="3086" width="14.5703125" style="411" customWidth="1"/>
    <col min="3087" max="3328" width="9.140625" style="411"/>
    <col min="3329" max="3329" width="5.42578125" style="411" customWidth="1"/>
    <col min="3330" max="3330" width="45.7109375" style="411" customWidth="1"/>
    <col min="3331" max="3331" width="35.140625" style="411" customWidth="1"/>
    <col min="3332" max="3333" width="20.140625" style="411" customWidth="1"/>
    <col min="3334" max="3334" width="0" style="411" hidden="1" customWidth="1"/>
    <col min="3335" max="3335" width="20.140625" style="411" customWidth="1"/>
    <col min="3336" max="3340" width="0" style="411" hidden="1" customWidth="1"/>
    <col min="3341" max="3341" width="14.7109375" style="411" customWidth="1"/>
    <col min="3342" max="3342" width="14.5703125" style="411" customWidth="1"/>
    <col min="3343" max="3584" width="9.140625" style="411"/>
    <col min="3585" max="3585" width="5.42578125" style="411" customWidth="1"/>
    <col min="3586" max="3586" width="45.7109375" style="411" customWidth="1"/>
    <col min="3587" max="3587" width="35.140625" style="411" customWidth="1"/>
    <col min="3588" max="3589" width="20.140625" style="411" customWidth="1"/>
    <col min="3590" max="3590" width="0" style="411" hidden="1" customWidth="1"/>
    <col min="3591" max="3591" width="20.140625" style="411" customWidth="1"/>
    <col min="3592" max="3596" width="0" style="411" hidden="1" customWidth="1"/>
    <col min="3597" max="3597" width="14.7109375" style="411" customWidth="1"/>
    <col min="3598" max="3598" width="14.5703125" style="411" customWidth="1"/>
    <col min="3599" max="3840" width="9.140625" style="411"/>
    <col min="3841" max="3841" width="5.42578125" style="411" customWidth="1"/>
    <col min="3842" max="3842" width="45.7109375" style="411" customWidth="1"/>
    <col min="3843" max="3843" width="35.140625" style="411" customWidth="1"/>
    <col min="3844" max="3845" width="20.140625" style="411" customWidth="1"/>
    <col min="3846" max="3846" width="0" style="411" hidden="1" customWidth="1"/>
    <col min="3847" max="3847" width="20.140625" style="411" customWidth="1"/>
    <col min="3848" max="3852" width="0" style="411" hidden="1" customWidth="1"/>
    <col min="3853" max="3853" width="14.7109375" style="411" customWidth="1"/>
    <col min="3854" max="3854" width="14.5703125" style="411" customWidth="1"/>
    <col min="3855" max="4096" width="9.140625" style="411"/>
    <col min="4097" max="4097" width="5.42578125" style="411" customWidth="1"/>
    <col min="4098" max="4098" width="45.7109375" style="411" customWidth="1"/>
    <col min="4099" max="4099" width="35.140625" style="411" customWidth="1"/>
    <col min="4100" max="4101" width="20.140625" style="411" customWidth="1"/>
    <col min="4102" max="4102" width="0" style="411" hidden="1" customWidth="1"/>
    <col min="4103" max="4103" width="20.140625" style="411" customWidth="1"/>
    <col min="4104" max="4108" width="0" style="411" hidden="1" customWidth="1"/>
    <col min="4109" max="4109" width="14.7109375" style="411" customWidth="1"/>
    <col min="4110" max="4110" width="14.5703125" style="411" customWidth="1"/>
    <col min="4111" max="4352" width="9.140625" style="411"/>
    <col min="4353" max="4353" width="5.42578125" style="411" customWidth="1"/>
    <col min="4354" max="4354" width="45.7109375" style="411" customWidth="1"/>
    <col min="4355" max="4355" width="35.140625" style="411" customWidth="1"/>
    <col min="4356" max="4357" width="20.140625" style="411" customWidth="1"/>
    <col min="4358" max="4358" width="0" style="411" hidden="1" customWidth="1"/>
    <col min="4359" max="4359" width="20.140625" style="411" customWidth="1"/>
    <col min="4360" max="4364" width="0" style="411" hidden="1" customWidth="1"/>
    <col min="4365" max="4365" width="14.7109375" style="411" customWidth="1"/>
    <col min="4366" max="4366" width="14.5703125" style="411" customWidth="1"/>
    <col min="4367" max="4608" width="9.140625" style="411"/>
    <col min="4609" max="4609" width="5.42578125" style="411" customWidth="1"/>
    <col min="4610" max="4610" width="45.7109375" style="411" customWidth="1"/>
    <col min="4611" max="4611" width="35.140625" style="411" customWidth="1"/>
    <col min="4612" max="4613" width="20.140625" style="411" customWidth="1"/>
    <col min="4614" max="4614" width="0" style="411" hidden="1" customWidth="1"/>
    <col min="4615" max="4615" width="20.140625" style="411" customWidth="1"/>
    <col min="4616" max="4620" width="0" style="411" hidden="1" customWidth="1"/>
    <col min="4621" max="4621" width="14.7109375" style="411" customWidth="1"/>
    <col min="4622" max="4622" width="14.5703125" style="411" customWidth="1"/>
    <col min="4623" max="4864" width="9.140625" style="411"/>
    <col min="4865" max="4865" width="5.42578125" style="411" customWidth="1"/>
    <col min="4866" max="4866" width="45.7109375" style="411" customWidth="1"/>
    <col min="4867" max="4867" width="35.140625" style="411" customWidth="1"/>
    <col min="4868" max="4869" width="20.140625" style="411" customWidth="1"/>
    <col min="4870" max="4870" width="0" style="411" hidden="1" customWidth="1"/>
    <col min="4871" max="4871" width="20.140625" style="411" customWidth="1"/>
    <col min="4872" max="4876" width="0" style="411" hidden="1" customWidth="1"/>
    <col min="4877" max="4877" width="14.7109375" style="411" customWidth="1"/>
    <col min="4878" max="4878" width="14.5703125" style="411" customWidth="1"/>
    <col min="4879" max="5120" width="9.140625" style="411"/>
    <col min="5121" max="5121" width="5.42578125" style="411" customWidth="1"/>
    <col min="5122" max="5122" width="45.7109375" style="411" customWidth="1"/>
    <col min="5123" max="5123" width="35.140625" style="411" customWidth="1"/>
    <col min="5124" max="5125" width="20.140625" style="411" customWidth="1"/>
    <col min="5126" max="5126" width="0" style="411" hidden="1" customWidth="1"/>
    <col min="5127" max="5127" width="20.140625" style="411" customWidth="1"/>
    <col min="5128" max="5132" width="0" style="411" hidden="1" customWidth="1"/>
    <col min="5133" max="5133" width="14.7109375" style="411" customWidth="1"/>
    <col min="5134" max="5134" width="14.5703125" style="411" customWidth="1"/>
    <col min="5135" max="5376" width="9.140625" style="411"/>
    <col min="5377" max="5377" width="5.42578125" style="411" customWidth="1"/>
    <col min="5378" max="5378" width="45.7109375" style="411" customWidth="1"/>
    <col min="5379" max="5379" width="35.140625" style="411" customWidth="1"/>
    <col min="5380" max="5381" width="20.140625" style="411" customWidth="1"/>
    <col min="5382" max="5382" width="0" style="411" hidden="1" customWidth="1"/>
    <col min="5383" max="5383" width="20.140625" style="411" customWidth="1"/>
    <col min="5384" max="5388" width="0" style="411" hidden="1" customWidth="1"/>
    <col min="5389" max="5389" width="14.7109375" style="411" customWidth="1"/>
    <col min="5390" max="5390" width="14.5703125" style="411" customWidth="1"/>
    <col min="5391" max="5632" width="9.140625" style="411"/>
    <col min="5633" max="5633" width="5.42578125" style="411" customWidth="1"/>
    <col min="5634" max="5634" width="45.7109375" style="411" customWidth="1"/>
    <col min="5635" max="5635" width="35.140625" style="411" customWidth="1"/>
    <col min="5636" max="5637" width="20.140625" style="411" customWidth="1"/>
    <col min="5638" max="5638" width="0" style="411" hidden="1" customWidth="1"/>
    <col min="5639" max="5639" width="20.140625" style="411" customWidth="1"/>
    <col min="5640" max="5644" width="0" style="411" hidden="1" customWidth="1"/>
    <col min="5645" max="5645" width="14.7109375" style="411" customWidth="1"/>
    <col min="5646" max="5646" width="14.5703125" style="411" customWidth="1"/>
    <col min="5647" max="5888" width="9.140625" style="411"/>
    <col min="5889" max="5889" width="5.42578125" style="411" customWidth="1"/>
    <col min="5890" max="5890" width="45.7109375" style="411" customWidth="1"/>
    <col min="5891" max="5891" width="35.140625" style="411" customWidth="1"/>
    <col min="5892" max="5893" width="20.140625" style="411" customWidth="1"/>
    <col min="5894" max="5894" width="0" style="411" hidden="1" customWidth="1"/>
    <col min="5895" max="5895" width="20.140625" style="411" customWidth="1"/>
    <col min="5896" max="5900" width="0" style="411" hidden="1" customWidth="1"/>
    <col min="5901" max="5901" width="14.7109375" style="411" customWidth="1"/>
    <col min="5902" max="5902" width="14.5703125" style="411" customWidth="1"/>
    <col min="5903" max="6144" width="9.140625" style="411"/>
    <col min="6145" max="6145" width="5.42578125" style="411" customWidth="1"/>
    <col min="6146" max="6146" width="45.7109375" style="411" customWidth="1"/>
    <col min="6147" max="6147" width="35.140625" style="411" customWidth="1"/>
    <col min="6148" max="6149" width="20.140625" style="411" customWidth="1"/>
    <col min="6150" max="6150" width="0" style="411" hidden="1" customWidth="1"/>
    <col min="6151" max="6151" width="20.140625" style="411" customWidth="1"/>
    <col min="6152" max="6156" width="0" style="411" hidden="1" customWidth="1"/>
    <col min="6157" max="6157" width="14.7109375" style="411" customWidth="1"/>
    <col min="6158" max="6158" width="14.5703125" style="411" customWidth="1"/>
    <col min="6159" max="6400" width="9.140625" style="411"/>
    <col min="6401" max="6401" width="5.42578125" style="411" customWidth="1"/>
    <col min="6402" max="6402" width="45.7109375" style="411" customWidth="1"/>
    <col min="6403" max="6403" width="35.140625" style="411" customWidth="1"/>
    <col min="6404" max="6405" width="20.140625" style="411" customWidth="1"/>
    <col min="6406" max="6406" width="0" style="411" hidden="1" customWidth="1"/>
    <col min="6407" max="6407" width="20.140625" style="411" customWidth="1"/>
    <col min="6408" max="6412" width="0" style="411" hidden="1" customWidth="1"/>
    <col min="6413" max="6413" width="14.7109375" style="411" customWidth="1"/>
    <col min="6414" max="6414" width="14.5703125" style="411" customWidth="1"/>
    <col min="6415" max="6656" width="9.140625" style="411"/>
    <col min="6657" max="6657" width="5.42578125" style="411" customWidth="1"/>
    <col min="6658" max="6658" width="45.7109375" style="411" customWidth="1"/>
    <col min="6659" max="6659" width="35.140625" style="411" customWidth="1"/>
    <col min="6660" max="6661" width="20.140625" style="411" customWidth="1"/>
    <col min="6662" max="6662" width="0" style="411" hidden="1" customWidth="1"/>
    <col min="6663" max="6663" width="20.140625" style="411" customWidth="1"/>
    <col min="6664" max="6668" width="0" style="411" hidden="1" customWidth="1"/>
    <col min="6669" max="6669" width="14.7109375" style="411" customWidth="1"/>
    <col min="6670" max="6670" width="14.5703125" style="411" customWidth="1"/>
    <col min="6671" max="6912" width="9.140625" style="411"/>
    <col min="6913" max="6913" width="5.42578125" style="411" customWidth="1"/>
    <col min="6914" max="6914" width="45.7109375" style="411" customWidth="1"/>
    <col min="6915" max="6915" width="35.140625" style="411" customWidth="1"/>
    <col min="6916" max="6917" width="20.140625" style="411" customWidth="1"/>
    <col min="6918" max="6918" width="0" style="411" hidden="1" customWidth="1"/>
    <col min="6919" max="6919" width="20.140625" style="411" customWidth="1"/>
    <col min="6920" max="6924" width="0" style="411" hidden="1" customWidth="1"/>
    <col min="6925" max="6925" width="14.7109375" style="411" customWidth="1"/>
    <col min="6926" max="6926" width="14.5703125" style="411" customWidth="1"/>
    <col min="6927" max="7168" width="9.140625" style="411"/>
    <col min="7169" max="7169" width="5.42578125" style="411" customWidth="1"/>
    <col min="7170" max="7170" width="45.7109375" style="411" customWidth="1"/>
    <col min="7171" max="7171" width="35.140625" style="411" customWidth="1"/>
    <col min="7172" max="7173" width="20.140625" style="411" customWidth="1"/>
    <col min="7174" max="7174" width="0" style="411" hidden="1" customWidth="1"/>
    <col min="7175" max="7175" width="20.140625" style="411" customWidth="1"/>
    <col min="7176" max="7180" width="0" style="411" hidden="1" customWidth="1"/>
    <col min="7181" max="7181" width="14.7109375" style="411" customWidth="1"/>
    <col min="7182" max="7182" width="14.5703125" style="411" customWidth="1"/>
    <col min="7183" max="7424" width="9.140625" style="411"/>
    <col min="7425" max="7425" width="5.42578125" style="411" customWidth="1"/>
    <col min="7426" max="7426" width="45.7109375" style="411" customWidth="1"/>
    <col min="7427" max="7427" width="35.140625" style="411" customWidth="1"/>
    <col min="7428" max="7429" width="20.140625" style="411" customWidth="1"/>
    <col min="7430" max="7430" width="0" style="411" hidden="1" customWidth="1"/>
    <col min="7431" max="7431" width="20.140625" style="411" customWidth="1"/>
    <col min="7432" max="7436" width="0" style="411" hidden="1" customWidth="1"/>
    <col min="7437" max="7437" width="14.7109375" style="411" customWidth="1"/>
    <col min="7438" max="7438" width="14.5703125" style="411" customWidth="1"/>
    <col min="7439" max="7680" width="9.140625" style="411"/>
    <col min="7681" max="7681" width="5.42578125" style="411" customWidth="1"/>
    <col min="7682" max="7682" width="45.7109375" style="411" customWidth="1"/>
    <col min="7683" max="7683" width="35.140625" style="411" customWidth="1"/>
    <col min="7684" max="7685" width="20.140625" style="411" customWidth="1"/>
    <col min="7686" max="7686" width="0" style="411" hidden="1" customWidth="1"/>
    <col min="7687" max="7687" width="20.140625" style="411" customWidth="1"/>
    <col min="7688" max="7692" width="0" style="411" hidden="1" customWidth="1"/>
    <col min="7693" max="7693" width="14.7109375" style="411" customWidth="1"/>
    <col min="7694" max="7694" width="14.5703125" style="411" customWidth="1"/>
    <col min="7695" max="7936" width="9.140625" style="411"/>
    <col min="7937" max="7937" width="5.42578125" style="411" customWidth="1"/>
    <col min="7938" max="7938" width="45.7109375" style="411" customWidth="1"/>
    <col min="7939" max="7939" width="35.140625" style="411" customWidth="1"/>
    <col min="7940" max="7941" width="20.140625" style="411" customWidth="1"/>
    <col min="7942" max="7942" width="0" style="411" hidden="1" customWidth="1"/>
    <col min="7943" max="7943" width="20.140625" style="411" customWidth="1"/>
    <col min="7944" max="7948" width="0" style="411" hidden="1" customWidth="1"/>
    <col min="7949" max="7949" width="14.7109375" style="411" customWidth="1"/>
    <col min="7950" max="7950" width="14.5703125" style="411" customWidth="1"/>
    <col min="7951" max="8192" width="9.140625" style="411"/>
    <col min="8193" max="8193" width="5.42578125" style="411" customWidth="1"/>
    <col min="8194" max="8194" width="45.7109375" style="411" customWidth="1"/>
    <col min="8195" max="8195" width="35.140625" style="411" customWidth="1"/>
    <col min="8196" max="8197" width="20.140625" style="411" customWidth="1"/>
    <col min="8198" max="8198" width="0" style="411" hidden="1" customWidth="1"/>
    <col min="8199" max="8199" width="20.140625" style="411" customWidth="1"/>
    <col min="8200" max="8204" width="0" style="411" hidden="1" customWidth="1"/>
    <col min="8205" max="8205" width="14.7109375" style="411" customWidth="1"/>
    <col min="8206" max="8206" width="14.5703125" style="411" customWidth="1"/>
    <col min="8207" max="8448" width="9.140625" style="411"/>
    <col min="8449" max="8449" width="5.42578125" style="411" customWidth="1"/>
    <col min="8450" max="8450" width="45.7109375" style="411" customWidth="1"/>
    <col min="8451" max="8451" width="35.140625" style="411" customWidth="1"/>
    <col min="8452" max="8453" width="20.140625" style="411" customWidth="1"/>
    <col min="8454" max="8454" width="0" style="411" hidden="1" customWidth="1"/>
    <col min="8455" max="8455" width="20.140625" style="411" customWidth="1"/>
    <col min="8456" max="8460" width="0" style="411" hidden="1" customWidth="1"/>
    <col min="8461" max="8461" width="14.7109375" style="411" customWidth="1"/>
    <col min="8462" max="8462" width="14.5703125" style="411" customWidth="1"/>
    <col min="8463" max="8704" width="9.140625" style="411"/>
    <col min="8705" max="8705" width="5.42578125" style="411" customWidth="1"/>
    <col min="8706" max="8706" width="45.7109375" style="411" customWidth="1"/>
    <col min="8707" max="8707" width="35.140625" style="411" customWidth="1"/>
    <col min="8708" max="8709" width="20.140625" style="411" customWidth="1"/>
    <col min="8710" max="8710" width="0" style="411" hidden="1" customWidth="1"/>
    <col min="8711" max="8711" width="20.140625" style="411" customWidth="1"/>
    <col min="8712" max="8716" width="0" style="411" hidden="1" customWidth="1"/>
    <col min="8717" max="8717" width="14.7109375" style="411" customWidth="1"/>
    <col min="8718" max="8718" width="14.5703125" style="411" customWidth="1"/>
    <col min="8719" max="8960" width="9.140625" style="411"/>
    <col min="8961" max="8961" width="5.42578125" style="411" customWidth="1"/>
    <col min="8962" max="8962" width="45.7109375" style="411" customWidth="1"/>
    <col min="8963" max="8963" width="35.140625" style="411" customWidth="1"/>
    <col min="8964" max="8965" width="20.140625" style="411" customWidth="1"/>
    <col min="8966" max="8966" width="0" style="411" hidden="1" customWidth="1"/>
    <col min="8967" max="8967" width="20.140625" style="411" customWidth="1"/>
    <col min="8968" max="8972" width="0" style="411" hidden="1" customWidth="1"/>
    <col min="8973" max="8973" width="14.7109375" style="411" customWidth="1"/>
    <col min="8974" max="8974" width="14.5703125" style="411" customWidth="1"/>
    <col min="8975" max="9216" width="9.140625" style="411"/>
    <col min="9217" max="9217" width="5.42578125" style="411" customWidth="1"/>
    <col min="9218" max="9218" width="45.7109375" style="411" customWidth="1"/>
    <col min="9219" max="9219" width="35.140625" style="411" customWidth="1"/>
    <col min="9220" max="9221" width="20.140625" style="411" customWidth="1"/>
    <col min="9222" max="9222" width="0" style="411" hidden="1" customWidth="1"/>
    <col min="9223" max="9223" width="20.140625" style="411" customWidth="1"/>
    <col min="9224" max="9228" width="0" style="411" hidden="1" customWidth="1"/>
    <col min="9229" max="9229" width="14.7109375" style="411" customWidth="1"/>
    <col min="9230" max="9230" width="14.5703125" style="411" customWidth="1"/>
    <col min="9231" max="9472" width="9.140625" style="411"/>
    <col min="9473" max="9473" width="5.42578125" style="411" customWidth="1"/>
    <col min="9474" max="9474" width="45.7109375" style="411" customWidth="1"/>
    <col min="9475" max="9475" width="35.140625" style="411" customWidth="1"/>
    <col min="9476" max="9477" width="20.140625" style="411" customWidth="1"/>
    <col min="9478" max="9478" width="0" style="411" hidden="1" customWidth="1"/>
    <col min="9479" max="9479" width="20.140625" style="411" customWidth="1"/>
    <col min="9480" max="9484" width="0" style="411" hidden="1" customWidth="1"/>
    <col min="9485" max="9485" width="14.7109375" style="411" customWidth="1"/>
    <col min="9486" max="9486" width="14.5703125" style="411" customWidth="1"/>
    <col min="9487" max="9728" width="9.140625" style="411"/>
    <col min="9729" max="9729" width="5.42578125" style="411" customWidth="1"/>
    <col min="9730" max="9730" width="45.7109375" style="411" customWidth="1"/>
    <col min="9731" max="9731" width="35.140625" style="411" customWidth="1"/>
    <col min="9732" max="9733" width="20.140625" style="411" customWidth="1"/>
    <col min="9734" max="9734" width="0" style="411" hidden="1" customWidth="1"/>
    <col min="9735" max="9735" width="20.140625" style="411" customWidth="1"/>
    <col min="9736" max="9740" width="0" style="411" hidden="1" customWidth="1"/>
    <col min="9741" max="9741" width="14.7109375" style="411" customWidth="1"/>
    <col min="9742" max="9742" width="14.5703125" style="411" customWidth="1"/>
    <col min="9743" max="9984" width="9.140625" style="411"/>
    <col min="9985" max="9985" width="5.42578125" style="411" customWidth="1"/>
    <col min="9986" max="9986" width="45.7109375" style="411" customWidth="1"/>
    <col min="9987" max="9987" width="35.140625" style="411" customWidth="1"/>
    <col min="9988" max="9989" width="20.140625" style="411" customWidth="1"/>
    <col min="9990" max="9990" width="0" style="411" hidden="1" customWidth="1"/>
    <col min="9991" max="9991" width="20.140625" style="411" customWidth="1"/>
    <col min="9992" max="9996" width="0" style="411" hidden="1" customWidth="1"/>
    <col min="9997" max="9997" width="14.7109375" style="411" customWidth="1"/>
    <col min="9998" max="9998" width="14.5703125" style="411" customWidth="1"/>
    <col min="9999" max="10240" width="9.140625" style="411"/>
    <col min="10241" max="10241" width="5.42578125" style="411" customWidth="1"/>
    <col min="10242" max="10242" width="45.7109375" style="411" customWidth="1"/>
    <col min="10243" max="10243" width="35.140625" style="411" customWidth="1"/>
    <col min="10244" max="10245" width="20.140625" style="411" customWidth="1"/>
    <col min="10246" max="10246" width="0" style="411" hidden="1" customWidth="1"/>
    <col min="10247" max="10247" width="20.140625" style="411" customWidth="1"/>
    <col min="10248" max="10252" width="0" style="411" hidden="1" customWidth="1"/>
    <col min="10253" max="10253" width="14.7109375" style="411" customWidth="1"/>
    <col min="10254" max="10254" width="14.5703125" style="411" customWidth="1"/>
    <col min="10255" max="10496" width="9.140625" style="411"/>
    <col min="10497" max="10497" width="5.42578125" style="411" customWidth="1"/>
    <col min="10498" max="10498" width="45.7109375" style="411" customWidth="1"/>
    <col min="10499" max="10499" width="35.140625" style="411" customWidth="1"/>
    <col min="10500" max="10501" width="20.140625" style="411" customWidth="1"/>
    <col min="10502" max="10502" width="0" style="411" hidden="1" customWidth="1"/>
    <col min="10503" max="10503" width="20.140625" style="411" customWidth="1"/>
    <col min="10504" max="10508" width="0" style="411" hidden="1" customWidth="1"/>
    <col min="10509" max="10509" width="14.7109375" style="411" customWidth="1"/>
    <col min="10510" max="10510" width="14.5703125" style="411" customWidth="1"/>
    <col min="10511" max="10752" width="9.140625" style="411"/>
    <col min="10753" max="10753" width="5.42578125" style="411" customWidth="1"/>
    <col min="10754" max="10754" width="45.7109375" style="411" customWidth="1"/>
    <col min="10755" max="10755" width="35.140625" style="411" customWidth="1"/>
    <col min="10756" max="10757" width="20.140625" style="411" customWidth="1"/>
    <col min="10758" max="10758" width="0" style="411" hidden="1" customWidth="1"/>
    <col min="10759" max="10759" width="20.140625" style="411" customWidth="1"/>
    <col min="10760" max="10764" width="0" style="411" hidden="1" customWidth="1"/>
    <col min="10765" max="10765" width="14.7109375" style="411" customWidth="1"/>
    <col min="10766" max="10766" width="14.5703125" style="411" customWidth="1"/>
    <col min="10767" max="11008" width="9.140625" style="411"/>
    <col min="11009" max="11009" width="5.42578125" style="411" customWidth="1"/>
    <col min="11010" max="11010" width="45.7109375" style="411" customWidth="1"/>
    <col min="11011" max="11011" width="35.140625" style="411" customWidth="1"/>
    <col min="11012" max="11013" width="20.140625" style="411" customWidth="1"/>
    <col min="11014" max="11014" width="0" style="411" hidden="1" customWidth="1"/>
    <col min="11015" max="11015" width="20.140625" style="411" customWidth="1"/>
    <col min="11016" max="11020" width="0" style="411" hidden="1" customWidth="1"/>
    <col min="11021" max="11021" width="14.7109375" style="411" customWidth="1"/>
    <col min="11022" max="11022" width="14.5703125" style="411" customWidth="1"/>
    <col min="11023" max="11264" width="9.140625" style="411"/>
    <col min="11265" max="11265" width="5.42578125" style="411" customWidth="1"/>
    <col min="11266" max="11266" width="45.7109375" style="411" customWidth="1"/>
    <col min="11267" max="11267" width="35.140625" style="411" customWidth="1"/>
    <col min="11268" max="11269" width="20.140625" style="411" customWidth="1"/>
    <col min="11270" max="11270" width="0" style="411" hidden="1" customWidth="1"/>
    <col min="11271" max="11271" width="20.140625" style="411" customWidth="1"/>
    <col min="11272" max="11276" width="0" style="411" hidden="1" customWidth="1"/>
    <col min="11277" max="11277" width="14.7109375" style="411" customWidth="1"/>
    <col min="11278" max="11278" width="14.5703125" style="411" customWidth="1"/>
    <col min="11279" max="11520" width="9.140625" style="411"/>
    <col min="11521" max="11521" width="5.42578125" style="411" customWidth="1"/>
    <col min="11522" max="11522" width="45.7109375" style="411" customWidth="1"/>
    <col min="11523" max="11523" width="35.140625" style="411" customWidth="1"/>
    <col min="11524" max="11525" width="20.140625" style="411" customWidth="1"/>
    <col min="11526" max="11526" width="0" style="411" hidden="1" customWidth="1"/>
    <col min="11527" max="11527" width="20.140625" style="411" customWidth="1"/>
    <col min="11528" max="11532" width="0" style="411" hidden="1" customWidth="1"/>
    <col min="11533" max="11533" width="14.7109375" style="411" customWidth="1"/>
    <col min="11534" max="11534" width="14.5703125" style="411" customWidth="1"/>
    <col min="11535" max="11776" width="9.140625" style="411"/>
    <col min="11777" max="11777" width="5.42578125" style="411" customWidth="1"/>
    <col min="11778" max="11778" width="45.7109375" style="411" customWidth="1"/>
    <col min="11779" max="11779" width="35.140625" style="411" customWidth="1"/>
    <col min="11780" max="11781" width="20.140625" style="411" customWidth="1"/>
    <col min="11782" max="11782" width="0" style="411" hidden="1" customWidth="1"/>
    <col min="11783" max="11783" width="20.140625" style="411" customWidth="1"/>
    <col min="11784" max="11788" width="0" style="411" hidden="1" customWidth="1"/>
    <col min="11789" max="11789" width="14.7109375" style="411" customWidth="1"/>
    <col min="11790" max="11790" width="14.5703125" style="411" customWidth="1"/>
    <col min="11791" max="12032" width="9.140625" style="411"/>
    <col min="12033" max="12033" width="5.42578125" style="411" customWidth="1"/>
    <col min="12034" max="12034" width="45.7109375" style="411" customWidth="1"/>
    <col min="12035" max="12035" width="35.140625" style="411" customWidth="1"/>
    <col min="12036" max="12037" width="20.140625" style="411" customWidth="1"/>
    <col min="12038" max="12038" width="0" style="411" hidden="1" customWidth="1"/>
    <col min="12039" max="12039" width="20.140625" style="411" customWidth="1"/>
    <col min="12040" max="12044" width="0" style="411" hidden="1" customWidth="1"/>
    <col min="12045" max="12045" width="14.7109375" style="411" customWidth="1"/>
    <col min="12046" max="12046" width="14.5703125" style="411" customWidth="1"/>
    <col min="12047" max="12288" width="9.140625" style="411"/>
    <col min="12289" max="12289" width="5.42578125" style="411" customWidth="1"/>
    <col min="12290" max="12290" width="45.7109375" style="411" customWidth="1"/>
    <col min="12291" max="12291" width="35.140625" style="411" customWidth="1"/>
    <col min="12292" max="12293" width="20.140625" style="411" customWidth="1"/>
    <col min="12294" max="12294" width="0" style="411" hidden="1" customWidth="1"/>
    <col min="12295" max="12295" width="20.140625" style="411" customWidth="1"/>
    <col min="12296" max="12300" width="0" style="411" hidden="1" customWidth="1"/>
    <col min="12301" max="12301" width="14.7109375" style="411" customWidth="1"/>
    <col min="12302" max="12302" width="14.5703125" style="411" customWidth="1"/>
    <col min="12303" max="12544" width="9.140625" style="411"/>
    <col min="12545" max="12545" width="5.42578125" style="411" customWidth="1"/>
    <col min="12546" max="12546" width="45.7109375" style="411" customWidth="1"/>
    <col min="12547" max="12547" width="35.140625" style="411" customWidth="1"/>
    <col min="12548" max="12549" width="20.140625" style="411" customWidth="1"/>
    <col min="12550" max="12550" width="0" style="411" hidden="1" customWidth="1"/>
    <col min="12551" max="12551" width="20.140625" style="411" customWidth="1"/>
    <col min="12552" max="12556" width="0" style="411" hidden="1" customWidth="1"/>
    <col min="12557" max="12557" width="14.7109375" style="411" customWidth="1"/>
    <col min="12558" max="12558" width="14.5703125" style="411" customWidth="1"/>
    <col min="12559" max="12800" width="9.140625" style="411"/>
    <col min="12801" max="12801" width="5.42578125" style="411" customWidth="1"/>
    <col min="12802" max="12802" width="45.7109375" style="411" customWidth="1"/>
    <col min="12803" max="12803" width="35.140625" style="411" customWidth="1"/>
    <col min="12804" max="12805" width="20.140625" style="411" customWidth="1"/>
    <col min="12806" max="12806" width="0" style="411" hidden="1" customWidth="1"/>
    <col min="12807" max="12807" width="20.140625" style="411" customWidth="1"/>
    <col min="12808" max="12812" width="0" style="411" hidden="1" customWidth="1"/>
    <col min="12813" max="12813" width="14.7109375" style="411" customWidth="1"/>
    <col min="12814" max="12814" width="14.5703125" style="411" customWidth="1"/>
    <col min="12815" max="13056" width="9.140625" style="411"/>
    <col min="13057" max="13057" width="5.42578125" style="411" customWidth="1"/>
    <col min="13058" max="13058" width="45.7109375" style="411" customWidth="1"/>
    <col min="13059" max="13059" width="35.140625" style="411" customWidth="1"/>
    <col min="13060" max="13061" width="20.140625" style="411" customWidth="1"/>
    <col min="13062" max="13062" width="0" style="411" hidden="1" customWidth="1"/>
    <col min="13063" max="13063" width="20.140625" style="411" customWidth="1"/>
    <col min="13064" max="13068" width="0" style="411" hidden="1" customWidth="1"/>
    <col min="13069" max="13069" width="14.7109375" style="411" customWidth="1"/>
    <col min="13070" max="13070" width="14.5703125" style="411" customWidth="1"/>
    <col min="13071" max="13312" width="9.140625" style="411"/>
    <col min="13313" max="13313" width="5.42578125" style="411" customWidth="1"/>
    <col min="13314" max="13314" width="45.7109375" style="411" customWidth="1"/>
    <col min="13315" max="13315" width="35.140625" style="411" customWidth="1"/>
    <col min="13316" max="13317" width="20.140625" style="411" customWidth="1"/>
    <col min="13318" max="13318" width="0" style="411" hidden="1" customWidth="1"/>
    <col min="13319" max="13319" width="20.140625" style="411" customWidth="1"/>
    <col min="13320" max="13324" width="0" style="411" hidden="1" customWidth="1"/>
    <col min="13325" max="13325" width="14.7109375" style="411" customWidth="1"/>
    <col min="13326" max="13326" width="14.5703125" style="411" customWidth="1"/>
    <col min="13327" max="13568" width="9.140625" style="411"/>
    <col min="13569" max="13569" width="5.42578125" style="411" customWidth="1"/>
    <col min="13570" max="13570" width="45.7109375" style="411" customWidth="1"/>
    <col min="13571" max="13571" width="35.140625" style="411" customWidth="1"/>
    <col min="13572" max="13573" width="20.140625" style="411" customWidth="1"/>
    <col min="13574" max="13574" width="0" style="411" hidden="1" customWidth="1"/>
    <col min="13575" max="13575" width="20.140625" style="411" customWidth="1"/>
    <col min="13576" max="13580" width="0" style="411" hidden="1" customWidth="1"/>
    <col min="13581" max="13581" width="14.7109375" style="411" customWidth="1"/>
    <col min="13582" max="13582" width="14.5703125" style="411" customWidth="1"/>
    <col min="13583" max="13824" width="9.140625" style="411"/>
    <col min="13825" max="13825" width="5.42578125" style="411" customWidth="1"/>
    <col min="13826" max="13826" width="45.7109375" style="411" customWidth="1"/>
    <col min="13827" max="13827" width="35.140625" style="411" customWidth="1"/>
    <col min="13828" max="13829" width="20.140625" style="411" customWidth="1"/>
    <col min="13830" max="13830" width="0" style="411" hidden="1" customWidth="1"/>
    <col min="13831" max="13831" width="20.140625" style="411" customWidth="1"/>
    <col min="13832" max="13836" width="0" style="411" hidden="1" customWidth="1"/>
    <col min="13837" max="13837" width="14.7109375" style="411" customWidth="1"/>
    <col min="13838" max="13838" width="14.5703125" style="411" customWidth="1"/>
    <col min="13839" max="14080" width="9.140625" style="411"/>
    <col min="14081" max="14081" width="5.42578125" style="411" customWidth="1"/>
    <col min="14082" max="14082" width="45.7109375" style="411" customWidth="1"/>
    <col min="14083" max="14083" width="35.140625" style="411" customWidth="1"/>
    <col min="14084" max="14085" width="20.140625" style="411" customWidth="1"/>
    <col min="14086" max="14086" width="0" style="411" hidden="1" customWidth="1"/>
    <col min="14087" max="14087" width="20.140625" style="411" customWidth="1"/>
    <col min="14088" max="14092" width="0" style="411" hidden="1" customWidth="1"/>
    <col min="14093" max="14093" width="14.7109375" style="411" customWidth="1"/>
    <col min="14094" max="14094" width="14.5703125" style="411" customWidth="1"/>
    <col min="14095" max="14336" width="9.140625" style="411"/>
    <col min="14337" max="14337" width="5.42578125" style="411" customWidth="1"/>
    <col min="14338" max="14338" width="45.7109375" style="411" customWidth="1"/>
    <col min="14339" max="14339" width="35.140625" style="411" customWidth="1"/>
    <col min="14340" max="14341" width="20.140625" style="411" customWidth="1"/>
    <col min="14342" max="14342" width="0" style="411" hidden="1" customWidth="1"/>
    <col min="14343" max="14343" width="20.140625" style="411" customWidth="1"/>
    <col min="14344" max="14348" width="0" style="411" hidden="1" customWidth="1"/>
    <col min="14349" max="14349" width="14.7109375" style="411" customWidth="1"/>
    <col min="14350" max="14350" width="14.5703125" style="411" customWidth="1"/>
    <col min="14351" max="14592" width="9.140625" style="411"/>
    <col min="14593" max="14593" width="5.42578125" style="411" customWidth="1"/>
    <col min="14594" max="14594" width="45.7109375" style="411" customWidth="1"/>
    <col min="14595" max="14595" width="35.140625" style="411" customWidth="1"/>
    <col min="14596" max="14597" width="20.140625" style="411" customWidth="1"/>
    <col min="14598" max="14598" width="0" style="411" hidden="1" customWidth="1"/>
    <col min="14599" max="14599" width="20.140625" style="411" customWidth="1"/>
    <col min="14600" max="14604" width="0" style="411" hidden="1" customWidth="1"/>
    <col min="14605" max="14605" width="14.7109375" style="411" customWidth="1"/>
    <col min="14606" max="14606" width="14.5703125" style="411" customWidth="1"/>
    <col min="14607" max="14848" width="9.140625" style="411"/>
    <col min="14849" max="14849" width="5.42578125" style="411" customWidth="1"/>
    <col min="14850" max="14850" width="45.7109375" style="411" customWidth="1"/>
    <col min="14851" max="14851" width="35.140625" style="411" customWidth="1"/>
    <col min="14852" max="14853" width="20.140625" style="411" customWidth="1"/>
    <col min="14854" max="14854" width="0" style="411" hidden="1" customWidth="1"/>
    <col min="14855" max="14855" width="20.140625" style="411" customWidth="1"/>
    <col min="14856" max="14860" width="0" style="411" hidden="1" customWidth="1"/>
    <col min="14861" max="14861" width="14.7109375" style="411" customWidth="1"/>
    <col min="14862" max="14862" width="14.5703125" style="411" customWidth="1"/>
    <col min="14863" max="15104" width="9.140625" style="411"/>
    <col min="15105" max="15105" width="5.42578125" style="411" customWidth="1"/>
    <col min="15106" max="15106" width="45.7109375" style="411" customWidth="1"/>
    <col min="15107" max="15107" width="35.140625" style="411" customWidth="1"/>
    <col min="15108" max="15109" width="20.140625" style="411" customWidth="1"/>
    <col min="15110" max="15110" width="0" style="411" hidden="1" customWidth="1"/>
    <col min="15111" max="15111" width="20.140625" style="411" customWidth="1"/>
    <col min="15112" max="15116" width="0" style="411" hidden="1" customWidth="1"/>
    <col min="15117" max="15117" width="14.7109375" style="411" customWidth="1"/>
    <col min="15118" max="15118" width="14.5703125" style="411" customWidth="1"/>
    <col min="15119" max="15360" width="9.140625" style="411"/>
    <col min="15361" max="15361" width="5.42578125" style="411" customWidth="1"/>
    <col min="15362" max="15362" width="45.7109375" style="411" customWidth="1"/>
    <col min="15363" max="15363" width="35.140625" style="411" customWidth="1"/>
    <col min="15364" max="15365" width="20.140625" style="411" customWidth="1"/>
    <col min="15366" max="15366" width="0" style="411" hidden="1" customWidth="1"/>
    <col min="15367" max="15367" width="20.140625" style="411" customWidth="1"/>
    <col min="15368" max="15372" width="0" style="411" hidden="1" customWidth="1"/>
    <col min="15373" max="15373" width="14.7109375" style="411" customWidth="1"/>
    <col min="15374" max="15374" width="14.5703125" style="411" customWidth="1"/>
    <col min="15375" max="15616" width="9.140625" style="411"/>
    <col min="15617" max="15617" width="5.42578125" style="411" customWidth="1"/>
    <col min="15618" max="15618" width="45.7109375" style="411" customWidth="1"/>
    <col min="15619" max="15619" width="35.140625" style="411" customWidth="1"/>
    <col min="15620" max="15621" width="20.140625" style="411" customWidth="1"/>
    <col min="15622" max="15622" width="0" style="411" hidden="1" customWidth="1"/>
    <col min="15623" max="15623" width="20.140625" style="411" customWidth="1"/>
    <col min="15624" max="15628" width="0" style="411" hidden="1" customWidth="1"/>
    <col min="15629" max="15629" width="14.7109375" style="411" customWidth="1"/>
    <col min="15630" max="15630" width="14.5703125" style="411" customWidth="1"/>
    <col min="15631" max="15872" width="9.140625" style="411"/>
    <col min="15873" max="15873" width="5.42578125" style="411" customWidth="1"/>
    <col min="15874" max="15874" width="45.7109375" style="411" customWidth="1"/>
    <col min="15875" max="15875" width="35.140625" style="411" customWidth="1"/>
    <col min="15876" max="15877" width="20.140625" style="411" customWidth="1"/>
    <col min="15878" max="15878" width="0" style="411" hidden="1" customWidth="1"/>
    <col min="15879" max="15879" width="20.140625" style="411" customWidth="1"/>
    <col min="15880" max="15884" width="0" style="411" hidden="1" customWidth="1"/>
    <col min="15885" max="15885" width="14.7109375" style="411" customWidth="1"/>
    <col min="15886" max="15886" width="14.5703125" style="411" customWidth="1"/>
    <col min="15887" max="16128" width="9.140625" style="411"/>
    <col min="16129" max="16129" width="5.42578125" style="411" customWidth="1"/>
    <col min="16130" max="16130" width="45.7109375" style="411" customWidth="1"/>
    <col min="16131" max="16131" width="35.140625" style="411" customWidth="1"/>
    <col min="16132" max="16133" width="20.140625" style="411" customWidth="1"/>
    <col min="16134" max="16134" width="0" style="411" hidden="1" customWidth="1"/>
    <col min="16135" max="16135" width="20.140625" style="411" customWidth="1"/>
    <col min="16136" max="16140" width="0" style="411" hidden="1" customWidth="1"/>
    <col min="16141" max="16141" width="14.7109375" style="411" customWidth="1"/>
    <col min="16142" max="16142" width="14.5703125" style="411" customWidth="1"/>
    <col min="16143" max="16384" width="9.140625" style="411"/>
  </cols>
  <sheetData>
    <row r="1" spans="1:15" ht="28.5" customHeight="1">
      <c r="A1" s="1809" t="str">
        <f>+'64'!A1:B1</f>
        <v>UBND xã Trần Phú</v>
      </c>
      <c r="B1" s="1810"/>
      <c r="E1" s="485"/>
      <c r="G1" s="412" t="s">
        <v>825</v>
      </c>
    </row>
    <row r="2" spans="1:15" ht="23.25" customHeight="1">
      <c r="A2" s="413" t="s">
        <v>1112</v>
      </c>
      <c r="B2" s="413"/>
      <c r="C2" s="413"/>
      <c r="D2" s="413"/>
      <c r="E2" s="413"/>
      <c r="F2" s="413"/>
      <c r="G2" s="1238"/>
    </row>
    <row r="3" spans="1:15" ht="15.75">
      <c r="D3" s="416"/>
      <c r="E3" s="416"/>
      <c r="G3" s="487" t="s">
        <v>216</v>
      </c>
    </row>
    <row r="4" spans="1:15" s="420" customFormat="1" ht="57" customHeight="1">
      <c r="A4" s="417" t="s">
        <v>313</v>
      </c>
      <c r="B4" s="417" t="s">
        <v>314</v>
      </c>
      <c r="C4" s="417" t="s">
        <v>1124</v>
      </c>
      <c r="D4" s="418" t="s">
        <v>795</v>
      </c>
      <c r="E4" s="418" t="s">
        <v>771</v>
      </c>
      <c r="F4" s="418" t="s">
        <v>796</v>
      </c>
      <c r="G4" s="418" t="s">
        <v>255</v>
      </c>
      <c r="H4" s="488"/>
      <c r="I4" s="423"/>
      <c r="J4" s="423"/>
      <c r="K4" s="423"/>
      <c r="L4" s="423"/>
      <c r="M4" s="423"/>
      <c r="N4" s="423"/>
      <c r="O4" s="423"/>
    </row>
    <row r="5" spans="1:15" s="420" customFormat="1" ht="35.25" customHeight="1">
      <c r="A5" s="417" t="s">
        <v>318</v>
      </c>
      <c r="B5" s="1265" t="s">
        <v>1129</v>
      </c>
      <c r="C5" s="417"/>
      <c r="D5" s="1266">
        <f>+D6+D9+D16</f>
        <v>19303.387440999999</v>
      </c>
      <c r="E5" s="1266">
        <f>+E6+E9+E16</f>
        <v>18711.045460000001</v>
      </c>
      <c r="F5" s="418"/>
      <c r="G5" s="418"/>
      <c r="H5" s="488"/>
      <c r="I5" s="423"/>
      <c r="J5" s="423"/>
      <c r="K5" s="423"/>
      <c r="L5" s="423"/>
      <c r="M5" s="423"/>
      <c r="N5" s="423"/>
      <c r="O5" s="423"/>
    </row>
    <row r="6" spans="1:15" s="204" customFormat="1" ht="32.25" customHeight="1">
      <c r="A6" s="1240">
        <v>1</v>
      </c>
      <c r="B6" s="1241" t="s">
        <v>1113</v>
      </c>
      <c r="C6" s="1242"/>
      <c r="D6" s="1243">
        <f>SUM(D7:D8)</f>
        <v>1204.5114960000001</v>
      </c>
      <c r="E6" s="1243">
        <f>SUM(E7:E8)</f>
        <v>1071.7410600000001</v>
      </c>
      <c r="F6" s="1288">
        <f>SUM(F7:F8)</f>
        <v>132.7704359999999</v>
      </c>
      <c r="G6" s="1288"/>
      <c r="H6" s="1289">
        <f>SUM(H7:H8)</f>
        <v>433.68149599999998</v>
      </c>
      <c r="M6" s="1290"/>
    </row>
    <row r="7" spans="1:15" s="204" customFormat="1" ht="26.25" customHeight="1">
      <c r="A7" s="1244"/>
      <c r="B7" s="1245" t="s">
        <v>1123</v>
      </c>
      <c r="C7" s="1811" t="s">
        <v>1114</v>
      </c>
      <c r="D7" s="1246">
        <v>433.68149599999998</v>
      </c>
      <c r="E7" s="1246">
        <f>+D7</f>
        <v>433.68149599999998</v>
      </c>
      <c r="F7" s="1254"/>
      <c r="G7" s="1255"/>
      <c r="H7" s="1291">
        <f>+D7</f>
        <v>433.68149599999998</v>
      </c>
      <c r="I7" s="1279">
        <v>63.43</v>
      </c>
      <c r="J7" s="1292">
        <v>1706046076</v>
      </c>
      <c r="K7" s="1279"/>
      <c r="L7" s="1279"/>
      <c r="M7" s="1293"/>
      <c r="N7" s="1279"/>
      <c r="O7" s="1279"/>
    </row>
    <row r="8" spans="1:15" s="204" customFormat="1" ht="40.5" customHeight="1">
      <c r="A8" s="1244"/>
      <c r="B8" s="1245" t="s">
        <v>1115</v>
      </c>
      <c r="C8" s="1811"/>
      <c r="D8" s="1246">
        <v>770.83</v>
      </c>
      <c r="E8" s="1246">
        <f>+E20-E7</f>
        <v>638.05956400000014</v>
      </c>
      <c r="F8" s="1254">
        <f>+D8-E8</f>
        <v>132.7704359999999</v>
      </c>
      <c r="G8" s="1255"/>
      <c r="H8" s="1294"/>
      <c r="I8" s="1295">
        <v>1644.1959999999999</v>
      </c>
      <c r="J8" s="1292">
        <v>2966000000</v>
      </c>
    </row>
    <row r="9" spans="1:15" s="204" customFormat="1" ht="27" customHeight="1">
      <c r="A9" s="1240">
        <v>2</v>
      </c>
      <c r="B9" s="1241" t="s">
        <v>801</v>
      </c>
      <c r="C9" s="1242"/>
      <c r="D9" s="1243">
        <f>+D10+D11+D14+D15</f>
        <v>17989.202395</v>
      </c>
      <c r="E9" s="1243">
        <f t="shared" ref="E9:F9" si="0">+E10+E11+E14+E15</f>
        <v>17639.304400000001</v>
      </c>
      <c r="F9" s="1243">
        <f t="shared" si="0"/>
        <v>0</v>
      </c>
      <c r="G9" s="1296"/>
      <c r="H9" s="1297">
        <f>SUM(H10:H11)</f>
        <v>17444</v>
      </c>
      <c r="J9" s="1292">
        <v>2159135000</v>
      </c>
    </row>
    <row r="10" spans="1:15" s="204" customFormat="1" ht="38.25" customHeight="1">
      <c r="A10" s="1247" t="s">
        <v>62</v>
      </c>
      <c r="B10" s="1248" t="s">
        <v>1116</v>
      </c>
      <c r="C10" s="1263" t="s">
        <v>1114</v>
      </c>
      <c r="D10" s="1246">
        <v>17444</v>
      </c>
      <c r="E10" s="1246">
        <f>+D10</f>
        <v>17444</v>
      </c>
      <c r="F10" s="1254">
        <f>E10-D10</f>
        <v>0</v>
      </c>
      <c r="G10" s="1272"/>
      <c r="H10" s="1273">
        <f>+D10</f>
        <v>17444</v>
      </c>
      <c r="J10" s="1274">
        <f>SUM(J7:J9)</f>
        <v>6831181076</v>
      </c>
    </row>
    <row r="11" spans="1:15" s="204" customFormat="1" ht="71.25" customHeight="1">
      <c r="A11" s="1247" t="s">
        <v>62</v>
      </c>
      <c r="B11" s="1245" t="s">
        <v>1117</v>
      </c>
      <c r="C11" s="1804" t="s">
        <v>1127</v>
      </c>
      <c r="D11" s="1246">
        <v>339</v>
      </c>
      <c r="E11" s="1246">
        <f>+E12</f>
        <v>195.30439999999999</v>
      </c>
      <c r="F11" s="1254"/>
      <c r="G11" s="1272"/>
      <c r="H11" s="1273"/>
      <c r="J11" s="1274"/>
      <c r="M11" s="80"/>
      <c r="N11" s="80"/>
    </row>
    <row r="12" spans="1:15" s="593" customFormat="1" ht="110.25">
      <c r="A12" s="1249"/>
      <c r="B12" s="1250" t="s">
        <v>1130</v>
      </c>
      <c r="C12" s="1805"/>
      <c r="D12" s="1251">
        <v>195.30439999999999</v>
      </c>
      <c r="E12" s="1251">
        <v>195.30439999999999</v>
      </c>
      <c r="F12" s="1267"/>
      <c r="G12" s="1268"/>
      <c r="H12" s="1269"/>
      <c r="J12" s="1270"/>
      <c r="M12" s="1271"/>
      <c r="N12" s="1271"/>
    </row>
    <row r="13" spans="1:15" s="593" customFormat="1" ht="63">
      <c r="A13" s="1249"/>
      <c r="B13" s="1250" t="s">
        <v>1131</v>
      </c>
      <c r="C13" s="1806"/>
      <c r="D13" s="1251">
        <f>+D11-D12</f>
        <v>143.69560000000001</v>
      </c>
      <c r="E13" s="1251"/>
      <c r="F13" s="1267"/>
      <c r="G13" s="1268"/>
      <c r="H13" s="1269"/>
      <c r="J13" s="1270"/>
      <c r="M13" s="1271"/>
      <c r="N13" s="1271"/>
    </row>
    <row r="14" spans="1:15" s="204" customFormat="1" ht="42" customHeight="1">
      <c r="A14" s="1247" t="s">
        <v>62</v>
      </c>
      <c r="B14" s="1245" t="s">
        <v>1125</v>
      </c>
      <c r="C14" s="1807" t="s">
        <v>1128</v>
      </c>
      <c r="D14" s="1246">
        <v>8.9</v>
      </c>
      <c r="E14" s="1246"/>
      <c r="F14" s="1254"/>
      <c r="G14" s="1272"/>
      <c r="H14" s="1273"/>
      <c r="J14" s="1274"/>
      <c r="M14" s="80"/>
      <c r="N14" s="80"/>
    </row>
    <row r="15" spans="1:15" s="204" customFormat="1" ht="42" customHeight="1">
      <c r="A15" s="1247" t="s">
        <v>62</v>
      </c>
      <c r="B15" s="1245" t="s">
        <v>1126</v>
      </c>
      <c r="C15" s="1808"/>
      <c r="D15" s="1246">
        <v>197.30239499999999</v>
      </c>
      <c r="E15" s="1246"/>
      <c r="F15" s="1254"/>
      <c r="G15" s="1272"/>
      <c r="H15" s="1273"/>
      <c r="J15" s="1274"/>
      <c r="M15" s="80"/>
      <c r="N15" s="80"/>
    </row>
    <row r="16" spans="1:15" s="204" customFormat="1" ht="27.75" customHeight="1">
      <c r="A16" s="1252">
        <v>3</v>
      </c>
      <c r="B16" s="1241" t="s">
        <v>807</v>
      </c>
      <c r="C16" s="1253"/>
      <c r="D16" s="1243">
        <f>SUM(D17:D17)</f>
        <v>109.67354999999999</v>
      </c>
      <c r="E16" s="1243">
        <f>SUM(E17:E17)</f>
        <v>0</v>
      </c>
      <c r="F16" s="1254"/>
      <c r="G16" s="1255"/>
      <c r="H16" s="1256"/>
    </row>
    <row r="17" spans="1:10" s="33" customFormat="1" ht="32.25" customHeight="1">
      <c r="A17" s="1257"/>
      <c r="B17" s="1258" t="s">
        <v>809</v>
      </c>
      <c r="C17" s="1264" t="s">
        <v>1128</v>
      </c>
      <c r="D17" s="1259">
        <f>156.6765*0.7</f>
        <v>109.67354999999999</v>
      </c>
      <c r="E17" s="1259"/>
      <c r="F17" s="1260"/>
      <c r="G17" s="1261"/>
      <c r="H17" s="1262"/>
    </row>
    <row r="18" spans="1:10" s="1287" customFormat="1" ht="27.75" customHeight="1">
      <c r="A18" s="1240" t="s">
        <v>149</v>
      </c>
      <c r="B18" s="1265" t="s">
        <v>1132</v>
      </c>
      <c r="C18" s="1265"/>
      <c r="D18" s="1243">
        <f>+D19+D20+D21</f>
        <v>18711.045460000001</v>
      </c>
      <c r="E18" s="1243">
        <f t="shared" ref="E18:F18" si="1">+E19+E20+E21</f>
        <v>18711.045460000001</v>
      </c>
      <c r="F18" s="1243">
        <f t="shared" si="1"/>
        <v>0</v>
      </c>
      <c r="G18" s="1281"/>
      <c r="H18" s="1286" t="e">
        <f>H6+H9+#REF!+#REF!</f>
        <v>#REF!</v>
      </c>
      <c r="I18" s="1286">
        <v>20722.194474</v>
      </c>
      <c r="J18" s="1286" t="e">
        <f>+H18-I18</f>
        <v>#REF!</v>
      </c>
    </row>
    <row r="19" spans="1:10" s="33" customFormat="1" ht="37.5" customHeight="1">
      <c r="A19" s="1257">
        <v>1</v>
      </c>
      <c r="B19" s="1258" t="s">
        <v>1118</v>
      </c>
      <c r="C19" s="1257" t="s">
        <v>1133</v>
      </c>
      <c r="D19" s="1259">
        <f>+D10</f>
        <v>17444</v>
      </c>
      <c r="E19" s="1259">
        <f>+D19</f>
        <v>17444</v>
      </c>
      <c r="F19" s="1260"/>
      <c r="G19" s="1261"/>
      <c r="H19" s="1275" t="e">
        <f>+H21+#REF!+#REF!</f>
        <v>#REF!</v>
      </c>
      <c r="I19" s="1276" t="e">
        <f>+#REF!-E21</f>
        <v>#REF!</v>
      </c>
      <c r="J19" s="1276" t="e">
        <f>+I19-H19</f>
        <v>#REF!</v>
      </c>
    </row>
    <row r="20" spans="1:10" s="33" customFormat="1" ht="37.5" customHeight="1">
      <c r="A20" s="1257">
        <v>2</v>
      </c>
      <c r="B20" s="1258" t="s">
        <v>1119</v>
      </c>
      <c r="C20" s="1257" t="s">
        <v>1134</v>
      </c>
      <c r="D20" s="1259">
        <v>1071.7410600000001</v>
      </c>
      <c r="E20" s="1259">
        <f>+D20</f>
        <v>1071.7410600000001</v>
      </c>
      <c r="F20" s="1260"/>
      <c r="G20" s="1261"/>
      <c r="H20" s="1275"/>
      <c r="I20" s="1276"/>
      <c r="J20" s="1276"/>
    </row>
    <row r="21" spans="1:10" s="1279" customFormat="1" ht="37.5" customHeight="1">
      <c r="A21" s="1257">
        <v>3</v>
      </c>
      <c r="B21" s="1244" t="s">
        <v>1120</v>
      </c>
      <c r="C21" s="1264" t="s">
        <v>1136</v>
      </c>
      <c r="D21" s="1246">
        <f>+E11</f>
        <v>195.30439999999999</v>
      </c>
      <c r="E21" s="1246">
        <f>+D21</f>
        <v>195.30439999999999</v>
      </c>
      <c r="F21" s="1254"/>
      <c r="G21" s="1272"/>
      <c r="H21" s="1277">
        <v>10.076000000000001</v>
      </c>
      <c r="I21" s="33" t="s">
        <v>556</v>
      </c>
      <c r="J21" s="1278" t="e">
        <f>+#REF!-D21</f>
        <v>#REF!</v>
      </c>
    </row>
    <row r="22" spans="1:10" s="46" customFormat="1" ht="24.75" customHeight="1">
      <c r="A22" s="1240" t="s">
        <v>64</v>
      </c>
      <c r="B22" s="1280" t="s">
        <v>1135</v>
      </c>
      <c r="C22" s="1280"/>
      <c r="D22" s="1243">
        <f>+D23</f>
        <v>592.34198099999776</v>
      </c>
      <c r="E22" s="1243">
        <f>+E23</f>
        <v>592.34198099999776</v>
      </c>
      <c r="F22" s="1281"/>
      <c r="G22" s="1282"/>
      <c r="H22" s="1283"/>
    </row>
    <row r="23" spans="1:10" s="46" customFormat="1" ht="25.5" customHeight="1">
      <c r="A23" s="1247"/>
      <c r="B23" s="1284" t="s">
        <v>820</v>
      </c>
      <c r="C23" s="1264" t="s">
        <v>1128</v>
      </c>
      <c r="D23" s="1246">
        <f>+D5-D18</f>
        <v>592.34198099999776</v>
      </c>
      <c r="E23" s="1246">
        <f>+D23</f>
        <v>592.34198099999776</v>
      </c>
      <c r="F23" s="1254"/>
      <c r="G23" s="1285"/>
      <c r="H23" s="1283">
        <v>785.32643900000005</v>
      </c>
    </row>
    <row r="24" spans="1:10">
      <c r="H24" s="527"/>
    </row>
    <row r="25" spans="1:10" ht="24.75" hidden="1" customHeight="1">
      <c r="D25" s="1812" t="s">
        <v>1137</v>
      </c>
      <c r="E25" s="1812"/>
      <c r="F25" s="1812"/>
      <c r="G25" s="1812"/>
      <c r="H25" s="527"/>
    </row>
    <row r="26" spans="1:10" ht="18.75" hidden="1">
      <c r="A26" s="1803" t="s">
        <v>1121</v>
      </c>
      <c r="B26" s="1803"/>
      <c r="D26" s="1803" t="s">
        <v>1122</v>
      </c>
      <c r="E26" s="1803"/>
      <c r="F26" s="1803"/>
      <c r="G26" s="1803"/>
      <c r="H26" s="527"/>
    </row>
    <row r="27" spans="1:10" ht="18.75" hidden="1">
      <c r="A27"/>
      <c r="B27"/>
      <c r="D27"/>
      <c r="E27" s="1239"/>
      <c r="F27" s="1239"/>
      <c r="H27" s="527"/>
    </row>
    <row r="28" spans="1:10" ht="15" hidden="1">
      <c r="A28"/>
      <c r="B28"/>
      <c r="D28"/>
      <c r="E28"/>
      <c r="F28"/>
    </row>
    <row r="29" spans="1:10" ht="15" hidden="1">
      <c r="A29"/>
      <c r="B29"/>
      <c r="D29"/>
      <c r="E29"/>
      <c r="F29"/>
    </row>
    <row r="30" spans="1:10" ht="15" hidden="1">
      <c r="A30"/>
      <c r="B30"/>
      <c r="D30"/>
      <c r="E30"/>
      <c r="F30"/>
    </row>
    <row r="31" spans="1:10" ht="15" hidden="1">
      <c r="A31"/>
      <c r="B31"/>
      <c r="D31"/>
      <c r="E31"/>
      <c r="F31"/>
    </row>
    <row r="32" spans="1:10" ht="15">
      <c r="A32"/>
      <c r="B32"/>
      <c r="D32"/>
      <c r="E32"/>
      <c r="F32"/>
    </row>
    <row r="33" spans="1:7" ht="18.75">
      <c r="A33" s="1803"/>
      <c r="B33" s="1803"/>
      <c r="D33" s="1803"/>
      <c r="E33" s="1803"/>
      <c r="F33" s="1803"/>
      <c r="G33" s="1803"/>
    </row>
  </sheetData>
  <mergeCells count="9">
    <mergeCell ref="A33:B33"/>
    <mergeCell ref="D33:G33"/>
    <mergeCell ref="C11:C13"/>
    <mergeCell ref="C14:C15"/>
    <mergeCell ref="A1:B1"/>
    <mergeCell ref="C7:C8"/>
    <mergeCell ref="D25:G25"/>
    <mergeCell ref="A26:B26"/>
    <mergeCell ref="D26:G2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sheetPr>
  <dimension ref="A1:AD205"/>
  <sheetViews>
    <sheetView zoomScaleNormal="100" workbookViewId="0">
      <pane xSplit="2" ySplit="8" topLeftCell="C9" activePane="bottomRight" state="frozen"/>
      <selection pane="topRight" activeCell="C1" sqref="C1"/>
      <selection pane="bottomLeft" activeCell="A9" sqref="A9"/>
      <selection pane="bottomRight" activeCell="X96" sqref="X96"/>
    </sheetView>
  </sheetViews>
  <sheetFormatPr defaultColWidth="9.28515625" defaultRowHeight="15"/>
  <cols>
    <col min="1" max="1" width="3.5703125" style="1013" customWidth="1"/>
    <col min="2" max="2" width="36.7109375" style="918" customWidth="1"/>
    <col min="3" max="3" width="11" style="914" customWidth="1"/>
    <col min="4" max="4" width="10.28515625" style="918" hidden="1" customWidth="1"/>
    <col min="5" max="5" width="9.5703125" style="918" hidden="1" customWidth="1"/>
    <col min="6" max="6" width="9.28515625" style="918" hidden="1" customWidth="1"/>
    <col min="7" max="7" width="9.5703125" style="918" hidden="1" customWidth="1"/>
    <col min="8" max="8" width="9.7109375" style="918" hidden="1" customWidth="1"/>
    <col min="9" max="9" width="8.7109375" style="918" hidden="1" customWidth="1"/>
    <col min="10" max="10" width="9" style="918" hidden="1" customWidth="1"/>
    <col min="11" max="11" width="10.140625" style="918" customWidth="1"/>
    <col min="12" max="12" width="10.28515625" style="918" customWidth="1"/>
    <col min="13" max="13" width="9.7109375" style="918" customWidth="1"/>
    <col min="14" max="14" width="10" style="918" customWidth="1"/>
    <col min="15" max="15" width="11" style="918" customWidth="1"/>
    <col min="16" max="17" width="10.42578125" style="918" customWidth="1"/>
    <col min="18" max="18" width="9" style="1014" customWidth="1"/>
    <col min="19" max="19" width="10.28515625" style="31" customWidth="1"/>
    <col min="20" max="20" width="11.5703125" style="31" customWidth="1"/>
    <col min="21" max="21" width="11.7109375" style="31" customWidth="1"/>
    <col min="22" max="22" width="9.42578125" style="31" customWidth="1"/>
    <col min="23" max="23" width="10.28515625" style="918" customWidth="1"/>
    <col min="24" max="24" width="9.42578125" style="918" customWidth="1"/>
    <col min="25" max="25" width="9" style="918" customWidth="1"/>
    <col min="26" max="26" width="9.85546875" style="918" customWidth="1"/>
    <col min="27" max="27" width="10.28515625" style="918" customWidth="1"/>
    <col min="28" max="28" width="14.42578125" style="208" bestFit="1" customWidth="1"/>
    <col min="29" max="29" width="12.28515625" style="208" bestFit="1" customWidth="1"/>
    <col min="30" max="16384" width="9.28515625" style="208"/>
  </cols>
  <sheetData>
    <row r="1" spans="1:28" ht="23.25" customHeight="1">
      <c r="A1" s="1717" t="s">
        <v>258</v>
      </c>
      <c r="B1" s="1717"/>
      <c r="C1" s="1717"/>
      <c r="D1" s="1717"/>
      <c r="E1" s="915"/>
      <c r="F1" s="915"/>
      <c r="G1" s="915"/>
      <c r="H1" s="915"/>
      <c r="I1" s="915"/>
      <c r="J1" s="916"/>
      <c r="K1" s="917"/>
      <c r="M1" s="919"/>
      <c r="N1" s="1825"/>
      <c r="O1" s="1825"/>
      <c r="P1" s="1825"/>
      <c r="Q1" s="1825"/>
      <c r="R1" s="1825"/>
      <c r="S1" s="917"/>
      <c r="T1" s="917"/>
      <c r="U1" s="917"/>
      <c r="V1" s="920"/>
      <c r="W1" s="917"/>
      <c r="X1" s="915"/>
      <c r="Y1" s="921"/>
      <c r="Z1" s="1832" t="s">
        <v>356</v>
      </c>
      <c r="AA1" s="1832"/>
    </row>
    <row r="2" spans="1:28" ht="26.25" customHeight="1">
      <c r="A2" s="1670" t="s">
        <v>1197</v>
      </c>
      <c r="B2" s="1670"/>
      <c r="C2" s="1670"/>
      <c r="D2" s="1670"/>
      <c r="E2" s="1670"/>
      <c r="F2" s="1670"/>
      <c r="G2" s="1670"/>
      <c r="H2" s="1670"/>
      <c r="I2" s="1670"/>
      <c r="J2" s="1670"/>
      <c r="K2" s="1670"/>
      <c r="L2" s="1670"/>
      <c r="M2" s="1670"/>
      <c r="N2" s="1670"/>
      <c r="O2" s="1670"/>
      <c r="P2" s="1670"/>
      <c r="Q2" s="1670"/>
      <c r="R2" s="1670"/>
      <c r="S2" s="1670"/>
      <c r="T2" s="1670"/>
      <c r="U2" s="1670"/>
      <c r="V2" s="1670"/>
      <c r="W2" s="1670"/>
      <c r="X2" s="1670"/>
      <c r="Y2" s="1670"/>
      <c r="Z2" s="1670"/>
      <c r="AA2" s="1670"/>
    </row>
    <row r="3" spans="1:28" ht="16.5" customHeight="1">
      <c r="A3" s="922"/>
      <c r="B3" s="923"/>
      <c r="C3" s="915"/>
      <c r="D3" s="924"/>
      <c r="E3" s="917"/>
      <c r="F3" s="917"/>
      <c r="G3" s="917"/>
      <c r="H3" s="917"/>
      <c r="I3" s="917"/>
      <c r="J3" s="916"/>
      <c r="K3" s="925"/>
      <c r="L3" s="926"/>
      <c r="M3" s="926"/>
      <c r="N3" s="926"/>
      <c r="O3" s="927"/>
      <c r="P3" s="927"/>
      <c r="Q3" s="927"/>
      <c r="R3" s="926"/>
      <c r="S3" s="915"/>
      <c r="T3" s="1142"/>
      <c r="U3" s="928"/>
      <c r="V3" s="925"/>
      <c r="W3" s="915"/>
      <c r="X3" s="925"/>
      <c r="Y3" s="929"/>
      <c r="Z3" s="1824" t="s">
        <v>95</v>
      </c>
      <c r="AA3" s="1824"/>
    </row>
    <row r="4" spans="1:28" s="930" customFormat="1" ht="14.25" customHeight="1">
      <c r="A4" s="1813" t="s">
        <v>313</v>
      </c>
      <c r="B4" s="1814" t="s">
        <v>468</v>
      </c>
      <c r="C4" s="1821" t="s">
        <v>305</v>
      </c>
      <c r="D4" s="1817" t="s">
        <v>357</v>
      </c>
      <c r="E4" s="1818"/>
      <c r="F4" s="1818"/>
      <c r="G4" s="1819"/>
      <c r="H4" s="1819"/>
      <c r="I4" s="1818"/>
      <c r="J4" s="1820"/>
      <c r="K4" s="1813" t="s">
        <v>358</v>
      </c>
      <c r="L4" s="1813"/>
      <c r="M4" s="1813"/>
      <c r="N4" s="1813"/>
      <c r="O4" s="1813"/>
      <c r="P4" s="1813"/>
      <c r="Q4" s="1813"/>
      <c r="R4" s="1813"/>
      <c r="S4" s="1813" t="s">
        <v>146</v>
      </c>
      <c r="T4" s="1813"/>
      <c r="U4" s="1813"/>
      <c r="V4" s="1813" t="s">
        <v>282</v>
      </c>
      <c r="W4" s="1813" t="s">
        <v>359</v>
      </c>
      <c r="X4" s="1813"/>
      <c r="Y4" s="1813"/>
      <c r="Z4" s="1813"/>
      <c r="AA4" s="1813"/>
    </row>
    <row r="5" spans="1:28" s="930" customFormat="1" ht="13.5" customHeight="1">
      <c r="A5" s="1813"/>
      <c r="B5" s="1815"/>
      <c r="C5" s="1822"/>
      <c r="D5" s="1827" t="s">
        <v>152</v>
      </c>
      <c r="E5" s="1817" t="s">
        <v>248</v>
      </c>
      <c r="F5" s="1818"/>
      <c r="G5" s="1819"/>
      <c r="H5" s="1819"/>
      <c r="I5" s="1818"/>
      <c r="J5" s="1820"/>
      <c r="K5" s="1813" t="s">
        <v>152</v>
      </c>
      <c r="L5" s="1813" t="s">
        <v>248</v>
      </c>
      <c r="M5" s="1813"/>
      <c r="N5" s="1813"/>
      <c r="O5" s="1813"/>
      <c r="P5" s="1813"/>
      <c r="Q5" s="1813"/>
      <c r="R5" s="1813"/>
      <c r="S5" s="1813" t="s">
        <v>152</v>
      </c>
      <c r="T5" s="1813" t="s">
        <v>248</v>
      </c>
      <c r="U5" s="1813"/>
      <c r="V5" s="1813"/>
      <c r="W5" s="1813" t="s">
        <v>152</v>
      </c>
      <c r="X5" s="1813" t="s">
        <v>192</v>
      </c>
      <c r="Y5" s="1813"/>
      <c r="Z5" s="1813" t="s">
        <v>193</v>
      </c>
      <c r="AA5" s="1813"/>
    </row>
    <row r="6" spans="1:28" s="930" customFormat="1" ht="15" customHeight="1">
      <c r="A6" s="1813"/>
      <c r="B6" s="1815"/>
      <c r="C6" s="1822"/>
      <c r="D6" s="1828"/>
      <c r="E6" s="1813" t="s">
        <v>209</v>
      </c>
      <c r="F6" s="1830"/>
      <c r="G6" s="1813" t="s">
        <v>209</v>
      </c>
      <c r="H6" s="1831"/>
      <c r="I6" s="1813" t="s">
        <v>440</v>
      </c>
      <c r="J6" s="1830"/>
      <c r="K6" s="1813"/>
      <c r="L6" s="1813" t="s">
        <v>543</v>
      </c>
      <c r="M6" s="1813" t="s">
        <v>229</v>
      </c>
      <c r="N6" s="1813" t="s">
        <v>230</v>
      </c>
      <c r="O6" s="1826" t="s">
        <v>547</v>
      </c>
      <c r="P6" s="1826" t="s">
        <v>1005</v>
      </c>
      <c r="Q6" s="1826"/>
      <c r="R6" s="1826" t="s">
        <v>601</v>
      </c>
      <c r="S6" s="1813"/>
      <c r="T6" s="1813" t="s">
        <v>195</v>
      </c>
      <c r="U6" s="1813" t="s">
        <v>197</v>
      </c>
      <c r="V6" s="1813"/>
      <c r="W6" s="1813"/>
      <c r="X6" s="1813" t="s">
        <v>231</v>
      </c>
      <c r="Y6" s="1813" t="s">
        <v>370</v>
      </c>
      <c r="Z6" s="1753" t="s">
        <v>231</v>
      </c>
      <c r="AA6" s="1813" t="s">
        <v>370</v>
      </c>
    </row>
    <row r="7" spans="1:28" s="930" customFormat="1" ht="24.75" customHeight="1">
      <c r="A7" s="1813"/>
      <c r="B7" s="1815"/>
      <c r="C7" s="1822"/>
      <c r="D7" s="1828"/>
      <c r="E7" s="1830"/>
      <c r="F7" s="1830"/>
      <c r="G7" s="1813" t="s">
        <v>1004</v>
      </c>
      <c r="H7" s="1813"/>
      <c r="I7" s="1830"/>
      <c r="J7" s="1830"/>
      <c r="K7" s="1813"/>
      <c r="L7" s="1813"/>
      <c r="M7" s="1813"/>
      <c r="N7" s="1813"/>
      <c r="O7" s="1826"/>
      <c r="P7" s="1826" t="s">
        <v>1006</v>
      </c>
      <c r="Q7" s="1826" t="s">
        <v>1007</v>
      </c>
      <c r="R7" s="1826"/>
      <c r="S7" s="1813"/>
      <c r="T7" s="1813"/>
      <c r="U7" s="1813"/>
      <c r="V7" s="1813"/>
      <c r="W7" s="1813"/>
      <c r="X7" s="1813"/>
      <c r="Y7" s="1813"/>
      <c r="Z7" s="1753"/>
      <c r="AA7" s="1813"/>
    </row>
    <row r="8" spans="1:28" s="930" customFormat="1" ht="15" customHeight="1">
      <c r="A8" s="1813"/>
      <c r="B8" s="1816"/>
      <c r="C8" s="1823"/>
      <c r="D8" s="1829"/>
      <c r="E8" s="1091" t="s">
        <v>550</v>
      </c>
      <c r="F8" s="1091" t="s">
        <v>551</v>
      </c>
      <c r="G8" s="1091" t="s">
        <v>550</v>
      </c>
      <c r="H8" s="1091" t="s">
        <v>551</v>
      </c>
      <c r="I8" s="1091" t="s">
        <v>550</v>
      </c>
      <c r="J8" s="1091" t="s">
        <v>551</v>
      </c>
      <c r="K8" s="1813"/>
      <c r="L8" s="1813"/>
      <c r="M8" s="1813"/>
      <c r="N8" s="1813"/>
      <c r="O8" s="1826"/>
      <c r="P8" s="1826"/>
      <c r="Q8" s="1826"/>
      <c r="R8" s="1826"/>
      <c r="S8" s="1813"/>
      <c r="T8" s="1813"/>
      <c r="U8" s="1813"/>
      <c r="V8" s="1813"/>
      <c r="W8" s="1813"/>
      <c r="X8" s="1813"/>
      <c r="Y8" s="1813"/>
      <c r="Z8" s="1753"/>
      <c r="AA8" s="1813"/>
    </row>
    <row r="9" spans="1:28" s="936" customFormat="1" ht="21.75" customHeight="1">
      <c r="A9" s="931" t="s">
        <v>316</v>
      </c>
      <c r="B9" s="932" t="s">
        <v>317</v>
      </c>
      <c r="C9" s="933">
        <v>1</v>
      </c>
      <c r="D9" s="931" t="s">
        <v>569</v>
      </c>
      <c r="E9" s="934">
        <v>3</v>
      </c>
      <c r="F9" s="934">
        <v>4</v>
      </c>
      <c r="G9" s="934"/>
      <c r="H9" s="934"/>
      <c r="I9" s="934">
        <v>5</v>
      </c>
      <c r="J9" s="934">
        <v>6</v>
      </c>
      <c r="K9" s="934" t="s">
        <v>570</v>
      </c>
      <c r="L9" s="934">
        <v>8</v>
      </c>
      <c r="M9" s="934">
        <v>9</v>
      </c>
      <c r="N9" s="934">
        <v>10</v>
      </c>
      <c r="O9" s="934">
        <v>11</v>
      </c>
      <c r="P9" s="934">
        <v>12</v>
      </c>
      <c r="Q9" s="934">
        <v>13</v>
      </c>
      <c r="R9" s="934">
        <v>11</v>
      </c>
      <c r="S9" s="934" t="s">
        <v>571</v>
      </c>
      <c r="T9" s="934">
        <v>13</v>
      </c>
      <c r="U9" s="934">
        <v>14</v>
      </c>
      <c r="V9" s="934">
        <v>15</v>
      </c>
      <c r="W9" s="935" t="s">
        <v>572</v>
      </c>
      <c r="X9" s="934">
        <v>17</v>
      </c>
      <c r="Y9" s="934">
        <v>18</v>
      </c>
      <c r="Z9" s="934">
        <v>19</v>
      </c>
      <c r="AA9" s="934">
        <v>20</v>
      </c>
    </row>
    <row r="10" spans="1:28" s="941" customFormat="1" ht="16.5" customHeight="1">
      <c r="A10" s="1090"/>
      <c r="B10" s="937" t="s">
        <v>305</v>
      </c>
      <c r="C10" s="938">
        <f t="shared" ref="C10:J10" si="0">+C11+C155+C160+C204</f>
        <v>804459125847</v>
      </c>
      <c r="D10" s="938">
        <f t="shared" si="0"/>
        <v>94874422403</v>
      </c>
      <c r="E10" s="938">
        <f t="shared" si="0"/>
        <v>62716555161</v>
      </c>
      <c r="F10" s="938">
        <f t="shared" si="0"/>
        <v>21093644124</v>
      </c>
      <c r="G10" s="938">
        <f t="shared" si="0"/>
        <v>-31628157451</v>
      </c>
      <c r="H10" s="938">
        <f t="shared" si="0"/>
        <v>31628157451</v>
      </c>
      <c r="I10" s="938">
        <f t="shared" si="0"/>
        <v>7729934764</v>
      </c>
      <c r="J10" s="938">
        <f t="shared" si="0"/>
        <v>3334288354</v>
      </c>
      <c r="K10" s="939">
        <f t="shared" ref="K10:K13" si="1">+L10+M10+N10+O10+P10-Q10-R10</f>
        <v>709584703444</v>
      </c>
      <c r="L10" s="938">
        <f t="shared" ref="L10:AA10" si="2">+L11+L155+L160+L204</f>
        <v>433661051268</v>
      </c>
      <c r="M10" s="938">
        <f t="shared" si="2"/>
        <v>119714000000</v>
      </c>
      <c r="N10" s="940">
        <f t="shared" si="2"/>
        <v>118118247777</v>
      </c>
      <c r="O10" s="940">
        <f t="shared" si="2"/>
        <v>39206783542</v>
      </c>
      <c r="P10" s="940">
        <f t="shared" si="2"/>
        <v>48894010057</v>
      </c>
      <c r="Q10" s="940">
        <f t="shared" si="2"/>
        <v>48894009757</v>
      </c>
      <c r="R10" s="940">
        <f t="shared" si="2"/>
        <v>1115379443</v>
      </c>
      <c r="S10" s="940">
        <f t="shared" si="2"/>
        <v>705191416267</v>
      </c>
      <c r="T10" s="940">
        <f t="shared" si="2"/>
        <v>445402006406</v>
      </c>
      <c r="U10" s="940">
        <f t="shared" si="2"/>
        <v>259789409861</v>
      </c>
      <c r="V10" s="940">
        <f t="shared" si="2"/>
        <v>7519495796</v>
      </c>
      <c r="W10" s="940">
        <f t="shared" si="2"/>
        <v>91748213784</v>
      </c>
      <c r="X10" s="940">
        <f t="shared" si="2"/>
        <v>38260630985</v>
      </c>
      <c r="Y10" s="940">
        <f t="shared" si="2"/>
        <v>6317628508</v>
      </c>
      <c r="Z10" s="940">
        <f t="shared" si="2"/>
        <v>44897760069</v>
      </c>
      <c r="AA10" s="940">
        <f t="shared" si="2"/>
        <v>2272184222</v>
      </c>
    </row>
    <row r="11" spans="1:28" s="941" customFormat="1" ht="12.75" customHeight="1">
      <c r="A11" s="942" t="s">
        <v>316</v>
      </c>
      <c r="B11" s="943" t="s">
        <v>232</v>
      </c>
      <c r="C11" s="944">
        <f>C12+C58+C86</f>
        <v>214356705836</v>
      </c>
      <c r="D11" s="944">
        <f t="shared" ref="D11:O11" si="3">D12+D58+D86</f>
        <v>54198810667</v>
      </c>
      <c r="E11" s="944">
        <f t="shared" si="3"/>
        <v>35826964367</v>
      </c>
      <c r="F11" s="944">
        <f t="shared" si="3"/>
        <v>15913547145</v>
      </c>
      <c r="G11" s="944">
        <f t="shared" si="3"/>
        <v>-31628157451</v>
      </c>
      <c r="H11" s="944">
        <f t="shared" si="3"/>
        <v>31628157451</v>
      </c>
      <c r="I11" s="944">
        <f t="shared" si="3"/>
        <v>168375944</v>
      </c>
      <c r="J11" s="944">
        <f t="shared" si="3"/>
        <v>2289923211</v>
      </c>
      <c r="K11" s="939">
        <f t="shared" si="1"/>
        <v>160157895169</v>
      </c>
      <c r="L11" s="944">
        <f t="shared" si="3"/>
        <v>0</v>
      </c>
      <c r="M11" s="945">
        <f t="shared" si="3"/>
        <v>108460000000</v>
      </c>
      <c r="N11" s="945">
        <f>N12+N58+N86</f>
        <v>51697894869</v>
      </c>
      <c r="O11" s="945">
        <f t="shared" si="3"/>
        <v>0</v>
      </c>
      <c r="P11" s="945">
        <f>P12+P58+P86</f>
        <v>48894010057</v>
      </c>
      <c r="Q11" s="945">
        <f>Q12+Q58+Q86</f>
        <v>48894009757</v>
      </c>
      <c r="R11" s="945">
        <f t="shared" ref="R11:AA11" si="4">R12+R58+R86</f>
        <v>0</v>
      </c>
      <c r="S11" s="945">
        <f t="shared" si="4"/>
        <v>163893219972</v>
      </c>
      <c r="T11" s="945">
        <f t="shared" si="4"/>
        <v>51356946145</v>
      </c>
      <c r="U11" s="945">
        <f t="shared" si="4"/>
        <v>112536273827</v>
      </c>
      <c r="V11" s="945">
        <f t="shared" si="4"/>
        <v>0</v>
      </c>
      <c r="W11" s="945">
        <f t="shared" si="4"/>
        <v>50463485864</v>
      </c>
      <c r="X11" s="945">
        <f t="shared" si="4"/>
        <v>10642765048</v>
      </c>
      <c r="Y11" s="945">
        <f t="shared" si="4"/>
        <v>2597075555</v>
      </c>
      <c r="Z11" s="945">
        <f t="shared" si="4"/>
        <v>35973023230</v>
      </c>
      <c r="AA11" s="945">
        <f t="shared" si="4"/>
        <v>1250622031</v>
      </c>
      <c r="AB11" s="1136">
        <v>35973013230</v>
      </c>
    </row>
    <row r="12" spans="1:28" s="941" customFormat="1" ht="18.75" customHeight="1">
      <c r="A12" s="946" t="s">
        <v>318</v>
      </c>
      <c r="B12" s="947" t="s">
        <v>598</v>
      </c>
      <c r="C12" s="948">
        <f>C13</f>
        <v>19821879504</v>
      </c>
      <c r="D12" s="948">
        <f>D13</f>
        <v>5789388335</v>
      </c>
      <c r="E12" s="948">
        <f t="shared" ref="E12:AA12" si="5">E13</f>
        <v>4369533820</v>
      </c>
      <c r="F12" s="948">
        <f t="shared" si="5"/>
        <v>1419854515</v>
      </c>
      <c r="G12" s="948">
        <f t="shared" si="5"/>
        <v>-4173991630</v>
      </c>
      <c r="H12" s="948">
        <f t="shared" si="5"/>
        <v>4173991630</v>
      </c>
      <c r="I12" s="948">
        <f t="shared" si="5"/>
        <v>0</v>
      </c>
      <c r="J12" s="948">
        <f t="shared" si="5"/>
        <v>0</v>
      </c>
      <c r="K12" s="939">
        <f t="shared" si="1"/>
        <v>14032491169</v>
      </c>
      <c r="L12" s="948">
        <f t="shared" si="5"/>
        <v>0</v>
      </c>
      <c r="M12" s="939">
        <f>M13</f>
        <v>12587000000</v>
      </c>
      <c r="N12" s="939">
        <f t="shared" si="5"/>
        <v>5394426869</v>
      </c>
      <c r="O12" s="939">
        <f>O13</f>
        <v>0</v>
      </c>
      <c r="P12" s="939">
        <f>P13</f>
        <v>1783041025</v>
      </c>
      <c r="Q12" s="939">
        <f>Q13</f>
        <v>5731976725</v>
      </c>
      <c r="R12" s="948">
        <f>R13</f>
        <v>0</v>
      </c>
      <c r="S12" s="948">
        <f t="shared" si="5"/>
        <v>12861802511</v>
      </c>
      <c r="T12" s="939">
        <f t="shared" si="5"/>
        <v>2943637430</v>
      </c>
      <c r="U12" s="939">
        <f t="shared" si="5"/>
        <v>9918165081</v>
      </c>
      <c r="V12" s="948">
        <f t="shared" si="5"/>
        <v>0</v>
      </c>
      <c r="W12" s="939">
        <f>W13</f>
        <v>6960076993</v>
      </c>
      <c r="X12" s="939">
        <f t="shared" si="5"/>
        <v>554041990</v>
      </c>
      <c r="Y12" s="948">
        <f t="shared" si="5"/>
        <v>10000</v>
      </c>
      <c r="Z12" s="939">
        <f t="shared" si="5"/>
        <v>6406025003</v>
      </c>
      <c r="AA12" s="948">
        <f t="shared" si="5"/>
        <v>0</v>
      </c>
      <c r="AB12" s="1136">
        <f>+Z11-AB11</f>
        <v>10000</v>
      </c>
    </row>
    <row r="13" spans="1:28" s="941" customFormat="1" ht="15" customHeight="1">
      <c r="A13" s="946">
        <v>1</v>
      </c>
      <c r="B13" s="949" t="s">
        <v>116</v>
      </c>
      <c r="C13" s="939">
        <f>SUM(C14:C15)</f>
        <v>19821879504</v>
      </c>
      <c r="D13" s="939">
        <f>SUM(D14:D15)</f>
        <v>5789388335</v>
      </c>
      <c r="E13" s="939">
        <f t="shared" ref="E13:AA13" si="6">SUM(E14:E15)</f>
        <v>4369533820</v>
      </c>
      <c r="F13" s="939">
        <f t="shared" si="6"/>
        <v>1419854515</v>
      </c>
      <c r="G13" s="939">
        <f t="shared" si="6"/>
        <v>-4173991630</v>
      </c>
      <c r="H13" s="939">
        <f t="shared" si="6"/>
        <v>4173991630</v>
      </c>
      <c r="I13" s="939">
        <f t="shared" si="6"/>
        <v>0</v>
      </c>
      <c r="J13" s="939">
        <f t="shared" si="6"/>
        <v>0</v>
      </c>
      <c r="K13" s="939">
        <f t="shared" si="1"/>
        <v>14032491169</v>
      </c>
      <c r="L13" s="939">
        <f t="shared" si="6"/>
        <v>0</v>
      </c>
      <c r="M13" s="939">
        <f>SUM(M14:M15)</f>
        <v>12587000000</v>
      </c>
      <c r="N13" s="939">
        <f t="shared" si="6"/>
        <v>5394426869</v>
      </c>
      <c r="O13" s="939">
        <f>SUM(O14:O15)</f>
        <v>0</v>
      </c>
      <c r="P13" s="939">
        <f>SUM(P14:P15)</f>
        <v>1783041025</v>
      </c>
      <c r="Q13" s="939">
        <f>SUM(Q14:Q15)</f>
        <v>5731976725</v>
      </c>
      <c r="R13" s="939">
        <f>SUM(R14:R15)</f>
        <v>0</v>
      </c>
      <c r="S13" s="939">
        <f t="shared" si="6"/>
        <v>12861802511</v>
      </c>
      <c r="T13" s="939">
        <f t="shared" si="6"/>
        <v>2943637430</v>
      </c>
      <c r="U13" s="939">
        <f t="shared" si="6"/>
        <v>9918165081</v>
      </c>
      <c r="V13" s="939">
        <f t="shared" si="6"/>
        <v>0</v>
      </c>
      <c r="W13" s="939">
        <f>SUM(W14:W15)</f>
        <v>6960076993</v>
      </c>
      <c r="X13" s="939">
        <f t="shared" si="6"/>
        <v>554041990</v>
      </c>
      <c r="Y13" s="939">
        <f t="shared" si="6"/>
        <v>10000</v>
      </c>
      <c r="Z13" s="939">
        <f t="shared" si="6"/>
        <v>6406025003</v>
      </c>
      <c r="AA13" s="939">
        <f t="shared" si="6"/>
        <v>0</v>
      </c>
      <c r="AB13" s="1141"/>
    </row>
    <row r="14" spans="1:28" s="877" customFormat="1" ht="13.5" customHeight="1">
      <c r="A14" s="870" t="s">
        <v>115</v>
      </c>
      <c r="B14" s="950" t="s">
        <v>600</v>
      </c>
      <c r="C14" s="872">
        <f>+C17+C20+C29+C41+C50</f>
        <v>19185109011</v>
      </c>
      <c r="D14" s="872">
        <f>+D17+D20+D29+D41+D50</f>
        <v>5576117842</v>
      </c>
      <c r="E14" s="872">
        <f t="shared" ref="E14:J14" si="7">+E17+E20+E29+E41+E50</f>
        <v>4208461820</v>
      </c>
      <c r="F14" s="872">
        <f t="shared" si="7"/>
        <v>1367656022</v>
      </c>
      <c r="G14" s="872">
        <f t="shared" si="7"/>
        <v>-4021919630</v>
      </c>
      <c r="H14" s="872">
        <f t="shared" si="7"/>
        <v>4021919630</v>
      </c>
      <c r="I14" s="872">
        <f t="shared" si="7"/>
        <v>0</v>
      </c>
      <c r="J14" s="872">
        <f t="shared" si="7"/>
        <v>0</v>
      </c>
      <c r="K14" s="875">
        <f>+L14+M14+N14+O14+P14-Q14-R14</f>
        <v>13608991169</v>
      </c>
      <c r="L14" s="872">
        <f t="shared" ref="L14:V14" si="8">+L17+L20+L29+L41+L50</f>
        <v>0</v>
      </c>
      <c r="M14" s="875">
        <f t="shared" ref="M14:O14" si="9">+M17+M20+M29+M41+M50</f>
        <v>12220000000</v>
      </c>
      <c r="N14" s="875">
        <f t="shared" si="9"/>
        <v>5189413869</v>
      </c>
      <c r="O14" s="875">
        <f t="shared" si="9"/>
        <v>0</v>
      </c>
      <c r="P14" s="875">
        <f>+P17+P20+P29+P41+P50</f>
        <v>1726521025</v>
      </c>
      <c r="Q14" s="875">
        <f t="shared" ref="Q14:R14" si="10">+Q17+Q20+Q29+Q41+Q50</f>
        <v>5526943725</v>
      </c>
      <c r="R14" s="875">
        <f t="shared" si="10"/>
        <v>0</v>
      </c>
      <c r="S14" s="875">
        <f t="shared" si="8"/>
        <v>12494776791</v>
      </c>
      <c r="T14" s="875">
        <f t="shared" si="8"/>
        <v>2847047430</v>
      </c>
      <c r="U14" s="875">
        <f t="shared" si="8"/>
        <v>9647729361</v>
      </c>
      <c r="V14" s="875">
        <f t="shared" si="8"/>
        <v>0</v>
      </c>
      <c r="W14" s="875">
        <f>+W17+W20+W29+W41+W50</f>
        <v>6690332220</v>
      </c>
      <c r="X14" s="875">
        <f>+X17+X20+X29+X41+X50</f>
        <v>544651990</v>
      </c>
      <c r="Y14" s="875">
        <f>+Y17+Y20+Y29+Y41+Y50</f>
        <v>10000</v>
      </c>
      <c r="Z14" s="875">
        <f>+Z17+Z20+Z29+Z41+Z50</f>
        <v>6145670230</v>
      </c>
      <c r="AA14" s="875">
        <v>0</v>
      </c>
    </row>
    <row r="15" spans="1:28" s="877" customFormat="1" ht="13.5" customHeight="1">
      <c r="A15" s="870" t="s">
        <v>115</v>
      </c>
      <c r="B15" s="950" t="s">
        <v>609</v>
      </c>
      <c r="C15" s="872">
        <f>+C18+C21+C30+C42+C51</f>
        <v>636770493</v>
      </c>
      <c r="D15" s="872">
        <f>+D18+D21+D30+D42+D51</f>
        <v>213270493</v>
      </c>
      <c r="E15" s="872">
        <f t="shared" ref="E15:J15" si="11">+E18+E21+E30+E42+E51</f>
        <v>161072000</v>
      </c>
      <c r="F15" s="872">
        <f t="shared" si="11"/>
        <v>52198493</v>
      </c>
      <c r="G15" s="872">
        <f t="shared" si="11"/>
        <v>-152072000</v>
      </c>
      <c r="H15" s="872">
        <f t="shared" si="11"/>
        <v>152072000</v>
      </c>
      <c r="I15" s="872">
        <f t="shared" si="11"/>
        <v>0</v>
      </c>
      <c r="J15" s="872">
        <f t="shared" si="11"/>
        <v>0</v>
      </c>
      <c r="K15" s="875">
        <f t="shared" ref="K15:K78" si="12">+L15+M15+N15+O15+P15-Q15-R15</f>
        <v>423500000</v>
      </c>
      <c r="L15" s="872">
        <f t="shared" ref="L15:W15" si="13">+L18+L21+L30+L42+L51</f>
        <v>0</v>
      </c>
      <c r="M15" s="875">
        <f t="shared" si="13"/>
        <v>367000000</v>
      </c>
      <c r="N15" s="875">
        <f>+N18+N21+N30+N42+N51</f>
        <v>205013000</v>
      </c>
      <c r="O15" s="875">
        <f>+O18+O21+O30+O42+O51</f>
        <v>0</v>
      </c>
      <c r="P15" s="875">
        <f>+P18+P21+P30+P42+P51</f>
        <v>56520000</v>
      </c>
      <c r="Q15" s="875">
        <f t="shared" ref="Q15:R15" si="14">+Q18+Q21+Q30+Q42+Q51</f>
        <v>205033000</v>
      </c>
      <c r="R15" s="875">
        <f t="shared" si="14"/>
        <v>0</v>
      </c>
      <c r="S15" s="875">
        <f t="shared" si="13"/>
        <v>367025720</v>
      </c>
      <c r="T15" s="875">
        <f t="shared" si="13"/>
        <v>96590000</v>
      </c>
      <c r="U15" s="875">
        <f t="shared" si="13"/>
        <v>270435720</v>
      </c>
      <c r="V15" s="875">
        <f t="shared" si="13"/>
        <v>0</v>
      </c>
      <c r="W15" s="875">
        <f t="shared" si="13"/>
        <v>269744773</v>
      </c>
      <c r="X15" s="875">
        <f>+X18+X21+X30+X42+X51</f>
        <v>9390000</v>
      </c>
      <c r="Y15" s="875">
        <f>+Y18+Y21+Y30+Y42+Y51</f>
        <v>0</v>
      </c>
      <c r="Z15" s="875">
        <f>+Z18+Z21+Z30+Z42+Z51</f>
        <v>260354773</v>
      </c>
      <c r="AA15" s="875">
        <v>0</v>
      </c>
    </row>
    <row r="16" spans="1:28" s="1148" customFormat="1" ht="12.75" customHeight="1">
      <c r="A16" s="1144" t="s">
        <v>62</v>
      </c>
      <c r="B16" s="1145" t="s">
        <v>599</v>
      </c>
      <c r="C16" s="1146">
        <f t="shared" ref="C16:J16" si="15">SUM(C17:C18)</f>
        <v>7982999920</v>
      </c>
      <c r="D16" s="1146">
        <f t="shared" si="15"/>
        <v>2669541230</v>
      </c>
      <c r="E16" s="1146">
        <f t="shared" si="15"/>
        <v>16210000</v>
      </c>
      <c r="F16" s="1146">
        <f t="shared" si="15"/>
        <v>843896275</v>
      </c>
      <c r="G16" s="1146">
        <f t="shared" si="15"/>
        <v>-16210000</v>
      </c>
      <c r="H16" s="1146">
        <f t="shared" si="15"/>
        <v>1825644955</v>
      </c>
      <c r="I16" s="1146">
        <f t="shared" si="15"/>
        <v>0</v>
      </c>
      <c r="J16" s="1146">
        <f t="shared" si="15"/>
        <v>0</v>
      </c>
      <c r="K16" s="1147">
        <f t="shared" si="12"/>
        <v>5313458690</v>
      </c>
      <c r="L16" s="1146">
        <f t="shared" ref="L16:AA16" si="16">SUM(L17:L18)</f>
        <v>0</v>
      </c>
      <c r="M16" s="1146">
        <f t="shared" si="16"/>
        <v>5306000000</v>
      </c>
      <c r="N16" s="1147">
        <f t="shared" si="16"/>
        <v>3959586690</v>
      </c>
      <c r="O16" s="1146">
        <f t="shared" si="16"/>
        <v>0</v>
      </c>
      <c r="P16" s="1146">
        <f>SUM(P17:P18)</f>
        <v>0</v>
      </c>
      <c r="Q16" s="1146">
        <f>SUM(Q17:Q18)</f>
        <v>3952128000</v>
      </c>
      <c r="R16" s="1146">
        <f t="shared" si="16"/>
        <v>0</v>
      </c>
      <c r="S16" s="1146">
        <f>SUM(S17:S18)</f>
        <v>5784468060</v>
      </c>
      <c r="T16" s="1146">
        <f t="shared" si="16"/>
        <v>0</v>
      </c>
      <c r="U16" s="1146">
        <f t="shared" si="16"/>
        <v>5784468060</v>
      </c>
      <c r="V16" s="1146">
        <f t="shared" si="16"/>
        <v>0</v>
      </c>
      <c r="W16" s="1146">
        <f t="shared" si="16"/>
        <v>2198531860</v>
      </c>
      <c r="X16" s="1146">
        <f t="shared" si="16"/>
        <v>0</v>
      </c>
      <c r="Y16" s="1146">
        <f t="shared" si="16"/>
        <v>10000</v>
      </c>
      <c r="Z16" s="1146">
        <f t="shared" si="16"/>
        <v>2198521860</v>
      </c>
      <c r="AA16" s="1146">
        <f t="shared" si="16"/>
        <v>0</v>
      </c>
    </row>
    <row r="17" spans="1:30" s="1148" customFormat="1" ht="13.5" customHeight="1">
      <c r="A17" s="1144" t="s">
        <v>115</v>
      </c>
      <c r="B17" s="1149" t="s">
        <v>600</v>
      </c>
      <c r="C17" s="1147">
        <f>+D17+K17</f>
        <v>7731829700</v>
      </c>
      <c r="D17" s="1146">
        <f>SUM(E17:J17)</f>
        <v>2573371010</v>
      </c>
      <c r="E17" s="1146">
        <v>16210000</v>
      </c>
      <c r="F17" s="1146">
        <v>804138055</v>
      </c>
      <c r="G17" s="1146">
        <f>+-E17</f>
        <v>-16210000</v>
      </c>
      <c r="H17" s="1146">
        <f>2206425400-453402445+16210000</f>
        <v>1769232955</v>
      </c>
      <c r="I17" s="1146"/>
      <c r="J17" s="1146"/>
      <c r="K17" s="1147">
        <f t="shared" si="12"/>
        <v>5158458690</v>
      </c>
      <c r="L17" s="1150"/>
      <c r="M17" s="1151">
        <v>5151000000</v>
      </c>
      <c r="N17" s="1151">
        <f>Q17+10650990-3192300</f>
        <v>3811073690</v>
      </c>
      <c r="O17" s="1150"/>
      <c r="P17" s="1150"/>
      <c r="Q17" s="1150">
        <f>3800423000+3192000</f>
        <v>3803615000</v>
      </c>
      <c r="R17" s="1152"/>
      <c r="S17" s="1147">
        <f>SUM(T17:U17)</f>
        <v>5599047840</v>
      </c>
      <c r="T17" s="1153"/>
      <c r="U17" s="1154">
        <v>5599047840</v>
      </c>
      <c r="V17" s="1153"/>
      <c r="W17" s="1147">
        <f>+C17-S17-V17</f>
        <v>2132781860</v>
      </c>
      <c r="X17" s="1153"/>
      <c r="Y17" s="1153">
        <v>10000</v>
      </c>
      <c r="Z17" s="1155">
        <f>+W17-X17-Y17</f>
        <v>2132771860</v>
      </c>
      <c r="AA17" s="1156"/>
    </row>
    <row r="18" spans="1:30" s="1148" customFormat="1" ht="13.5" customHeight="1">
      <c r="A18" s="1144" t="s">
        <v>115</v>
      </c>
      <c r="B18" s="1149" t="s">
        <v>609</v>
      </c>
      <c r="C18" s="1147">
        <f>+D18+K18</f>
        <v>251170220</v>
      </c>
      <c r="D18" s="1146">
        <f>SUM(E18:J18)</f>
        <v>96170220</v>
      </c>
      <c r="E18" s="1146"/>
      <c r="F18" s="1146">
        <v>39758220</v>
      </c>
      <c r="G18" s="1146"/>
      <c r="H18" s="1146">
        <f>72400000-15988000</f>
        <v>56412000</v>
      </c>
      <c r="I18" s="1146"/>
      <c r="J18" s="1146"/>
      <c r="K18" s="1147">
        <f t="shared" si="12"/>
        <v>155000000</v>
      </c>
      <c r="L18" s="1150"/>
      <c r="M18" s="1150">
        <v>155000000</v>
      </c>
      <c r="N18" s="1151">
        <v>148513000</v>
      </c>
      <c r="O18" s="1150"/>
      <c r="P18" s="1150"/>
      <c r="Q18" s="1150">
        <f>148513000</f>
        <v>148513000</v>
      </c>
      <c r="R18" s="1152"/>
      <c r="S18" s="1147">
        <f>SUM(T18:U18)</f>
        <v>185420220</v>
      </c>
      <c r="T18" s="1153"/>
      <c r="U18" s="1153">
        <v>185420220</v>
      </c>
      <c r="V18" s="1153"/>
      <c r="W18" s="1147">
        <f>+C18-S18-V18</f>
        <v>65750000</v>
      </c>
      <c r="X18" s="1153"/>
      <c r="Y18" s="1153"/>
      <c r="Z18" s="1155">
        <f>+W18-X18</f>
        <v>65750000</v>
      </c>
      <c r="AA18" s="1156"/>
    </row>
    <row r="19" spans="1:30" s="877" customFormat="1" ht="13.5" customHeight="1">
      <c r="A19" s="870" t="s">
        <v>62</v>
      </c>
      <c r="B19" s="955" t="s">
        <v>679</v>
      </c>
      <c r="C19" s="875">
        <f t="shared" ref="C19:AA19" si="17">SUM(C20:C21)</f>
        <v>7655012644</v>
      </c>
      <c r="D19" s="875">
        <f t="shared" si="17"/>
        <v>2924304915</v>
      </c>
      <c r="E19" s="875">
        <f t="shared" si="17"/>
        <v>10798380</v>
      </c>
      <c r="F19" s="875">
        <f t="shared" si="17"/>
        <v>575958240</v>
      </c>
      <c r="G19" s="875">
        <f t="shared" si="17"/>
        <v>-10798380</v>
      </c>
      <c r="H19" s="875">
        <f t="shared" si="17"/>
        <v>2348346675</v>
      </c>
      <c r="I19" s="875">
        <f t="shared" si="17"/>
        <v>0</v>
      </c>
      <c r="J19" s="875">
        <f t="shared" si="17"/>
        <v>0</v>
      </c>
      <c r="K19" s="875">
        <f t="shared" si="12"/>
        <v>4730707729</v>
      </c>
      <c r="L19" s="875">
        <f t="shared" si="17"/>
        <v>0</v>
      </c>
      <c r="M19" s="875">
        <f t="shared" si="17"/>
        <v>2680000000</v>
      </c>
      <c r="N19" s="875">
        <f t="shared" si="17"/>
        <v>1054840179</v>
      </c>
      <c r="O19" s="875">
        <f t="shared" si="17"/>
        <v>0</v>
      </c>
      <c r="P19" s="875">
        <f t="shared" si="17"/>
        <v>1008716275</v>
      </c>
      <c r="Q19" s="875">
        <f t="shared" si="17"/>
        <v>12848725</v>
      </c>
      <c r="R19" s="875">
        <f t="shared" si="17"/>
        <v>0</v>
      </c>
      <c r="S19" s="875">
        <f t="shared" si="17"/>
        <v>3596100115</v>
      </c>
      <c r="T19" s="875">
        <f t="shared" si="17"/>
        <v>548320000</v>
      </c>
      <c r="U19" s="875">
        <f t="shared" si="17"/>
        <v>3047780115</v>
      </c>
      <c r="V19" s="875">
        <f t="shared" si="17"/>
        <v>0</v>
      </c>
      <c r="W19" s="875">
        <f>SUM(W20:W21)</f>
        <v>4058912529</v>
      </c>
      <c r="X19" s="875">
        <f t="shared" si="17"/>
        <v>9680000</v>
      </c>
      <c r="Y19" s="875">
        <f t="shared" si="17"/>
        <v>0</v>
      </c>
      <c r="Z19" s="875">
        <f t="shared" si="17"/>
        <v>4049232529</v>
      </c>
      <c r="AA19" s="875">
        <f t="shared" si="17"/>
        <v>0</v>
      </c>
    </row>
    <row r="20" spans="1:30" s="877" customFormat="1" ht="13.5" customHeight="1">
      <c r="A20" s="870" t="s">
        <v>115</v>
      </c>
      <c r="B20" s="950" t="s">
        <v>600</v>
      </c>
      <c r="C20" s="872">
        <f>+C23+C26</f>
        <v>7389565371</v>
      </c>
      <c r="D20" s="872">
        <f>+D23+D26</f>
        <v>2816204642</v>
      </c>
      <c r="E20" s="872">
        <f t="shared" ref="E20:AA20" si="18">+E23+E26</f>
        <v>178380</v>
      </c>
      <c r="F20" s="872">
        <f t="shared" si="18"/>
        <v>563517967</v>
      </c>
      <c r="G20" s="872">
        <f t="shared" si="18"/>
        <v>-178380</v>
      </c>
      <c r="H20" s="872">
        <f t="shared" si="18"/>
        <v>2252686675</v>
      </c>
      <c r="I20" s="872">
        <f t="shared" si="18"/>
        <v>0</v>
      </c>
      <c r="J20" s="872">
        <f t="shared" si="18"/>
        <v>0</v>
      </c>
      <c r="K20" s="872">
        <f t="shared" si="18"/>
        <v>4573360729</v>
      </c>
      <c r="L20" s="872">
        <f t="shared" si="18"/>
        <v>0</v>
      </c>
      <c r="M20" s="872">
        <f t="shared" si="18"/>
        <v>2602000000</v>
      </c>
      <c r="N20" s="872">
        <f t="shared" si="18"/>
        <v>1012340179</v>
      </c>
      <c r="O20" s="872">
        <f t="shared" si="18"/>
        <v>0</v>
      </c>
      <c r="P20" s="872">
        <f t="shared" si="18"/>
        <v>968369275</v>
      </c>
      <c r="Q20" s="872">
        <f t="shared" si="18"/>
        <v>9348725</v>
      </c>
      <c r="R20" s="872">
        <f t="shared" si="18"/>
        <v>0</v>
      </c>
      <c r="S20" s="872">
        <f t="shared" si="18"/>
        <v>3522990115</v>
      </c>
      <c r="T20" s="872">
        <f t="shared" si="18"/>
        <v>532710000</v>
      </c>
      <c r="U20" s="872">
        <f t="shared" ref="U20" si="19">+U23+U26</f>
        <v>2990280115</v>
      </c>
      <c r="V20" s="872">
        <f t="shared" ref="V20:Z20" si="20">+V23+V26</f>
        <v>0</v>
      </c>
      <c r="W20" s="872">
        <f t="shared" si="20"/>
        <v>3866575256</v>
      </c>
      <c r="X20" s="872">
        <f t="shared" si="20"/>
        <v>9290000</v>
      </c>
      <c r="Y20" s="872">
        <f t="shared" si="20"/>
        <v>0</v>
      </c>
      <c r="Z20" s="872">
        <f t="shared" si="20"/>
        <v>3857285256</v>
      </c>
      <c r="AA20" s="872">
        <f t="shared" si="18"/>
        <v>0</v>
      </c>
    </row>
    <row r="21" spans="1:30" s="877" customFormat="1" ht="13.5" customHeight="1">
      <c r="A21" s="870" t="s">
        <v>115</v>
      </c>
      <c r="B21" s="950" t="s">
        <v>609</v>
      </c>
      <c r="C21" s="872">
        <f>+C24+C27</f>
        <v>265447273</v>
      </c>
      <c r="D21" s="872">
        <f>+D24+D27</f>
        <v>108100273</v>
      </c>
      <c r="E21" s="872">
        <f t="shared" ref="E21:AA21" si="21">+E24+E27</f>
        <v>10620000</v>
      </c>
      <c r="F21" s="872">
        <f t="shared" si="21"/>
        <v>12440273</v>
      </c>
      <c r="G21" s="872">
        <f t="shared" si="21"/>
        <v>-10620000</v>
      </c>
      <c r="H21" s="872">
        <f t="shared" si="21"/>
        <v>95660000</v>
      </c>
      <c r="I21" s="872">
        <f t="shared" si="21"/>
        <v>0</v>
      </c>
      <c r="J21" s="872">
        <f t="shared" si="21"/>
        <v>0</v>
      </c>
      <c r="K21" s="872">
        <f t="shared" si="21"/>
        <v>157347000</v>
      </c>
      <c r="L21" s="872">
        <f t="shared" si="21"/>
        <v>0</v>
      </c>
      <c r="M21" s="872">
        <f t="shared" si="21"/>
        <v>78000000</v>
      </c>
      <c r="N21" s="872">
        <f t="shared" si="21"/>
        <v>42500000</v>
      </c>
      <c r="O21" s="872">
        <f t="shared" si="21"/>
        <v>0</v>
      </c>
      <c r="P21" s="872">
        <f t="shared" si="21"/>
        <v>40347000</v>
      </c>
      <c r="Q21" s="872">
        <f t="shared" si="21"/>
        <v>3500000</v>
      </c>
      <c r="R21" s="872">
        <f t="shared" si="21"/>
        <v>0</v>
      </c>
      <c r="S21" s="872">
        <f t="shared" si="21"/>
        <v>73110000</v>
      </c>
      <c r="T21" s="872">
        <f t="shared" si="21"/>
        <v>15610000</v>
      </c>
      <c r="U21" s="872">
        <f t="shared" ref="U21" si="22">+U24+U27</f>
        <v>57500000</v>
      </c>
      <c r="V21" s="872">
        <f t="shared" ref="V21:Z21" si="23">+V24+V27</f>
        <v>0</v>
      </c>
      <c r="W21" s="872">
        <f t="shared" si="23"/>
        <v>192337273</v>
      </c>
      <c r="X21" s="872">
        <f t="shared" si="23"/>
        <v>390000</v>
      </c>
      <c r="Y21" s="872">
        <f t="shared" si="23"/>
        <v>0</v>
      </c>
      <c r="Z21" s="872">
        <f t="shared" si="23"/>
        <v>191947273</v>
      </c>
      <c r="AA21" s="872">
        <f t="shared" si="21"/>
        <v>0</v>
      </c>
    </row>
    <row r="22" spans="1:30" s="877" customFormat="1" ht="13.5" customHeight="1">
      <c r="A22" s="870" t="s">
        <v>62</v>
      </c>
      <c r="B22" s="955" t="s">
        <v>681</v>
      </c>
      <c r="C22" s="875">
        <f>SUM(C23:C24)</f>
        <v>7297012644</v>
      </c>
      <c r="D22" s="875">
        <f t="shared" ref="D22:AA22" si="24">SUM(D23:D24)</f>
        <v>2924304915</v>
      </c>
      <c r="E22" s="875">
        <f t="shared" si="24"/>
        <v>10620000</v>
      </c>
      <c r="F22" s="875">
        <f t="shared" si="24"/>
        <v>575958240</v>
      </c>
      <c r="G22" s="875">
        <f t="shared" si="24"/>
        <v>-10620000</v>
      </c>
      <c r="H22" s="875">
        <f t="shared" si="24"/>
        <v>2348346675</v>
      </c>
      <c r="I22" s="875">
        <f t="shared" si="24"/>
        <v>0</v>
      </c>
      <c r="J22" s="875">
        <f t="shared" si="24"/>
        <v>0</v>
      </c>
      <c r="K22" s="875">
        <f t="shared" si="12"/>
        <v>4372707729</v>
      </c>
      <c r="L22" s="875">
        <f t="shared" si="24"/>
        <v>0</v>
      </c>
      <c r="M22" s="875">
        <f t="shared" si="24"/>
        <v>2322000000</v>
      </c>
      <c r="N22" s="875">
        <f t="shared" si="24"/>
        <v>1054840179</v>
      </c>
      <c r="O22" s="875">
        <f t="shared" si="24"/>
        <v>0</v>
      </c>
      <c r="P22" s="875">
        <f t="shared" si="24"/>
        <v>1008716275</v>
      </c>
      <c r="Q22" s="875">
        <f t="shared" si="24"/>
        <v>12848725</v>
      </c>
      <c r="R22" s="875">
        <f t="shared" si="24"/>
        <v>0</v>
      </c>
      <c r="S22" s="875">
        <f t="shared" si="24"/>
        <v>3238100115</v>
      </c>
      <c r="T22" s="875">
        <f t="shared" si="24"/>
        <v>190320000</v>
      </c>
      <c r="U22" s="875">
        <f t="shared" si="24"/>
        <v>3047780115</v>
      </c>
      <c r="V22" s="875">
        <f t="shared" si="24"/>
        <v>0</v>
      </c>
      <c r="W22" s="875">
        <f>SUM(W23:W24)</f>
        <v>4058912529</v>
      </c>
      <c r="X22" s="875">
        <f t="shared" si="24"/>
        <v>9680000</v>
      </c>
      <c r="Y22" s="875">
        <f t="shared" si="24"/>
        <v>0</v>
      </c>
      <c r="Z22" s="875">
        <f t="shared" si="24"/>
        <v>4049232529</v>
      </c>
      <c r="AA22" s="875">
        <f t="shared" si="24"/>
        <v>0</v>
      </c>
      <c r="AB22" s="1120"/>
      <c r="AC22" s="1120"/>
      <c r="AD22" s="1120"/>
    </row>
    <row r="23" spans="1:30" s="1131" customFormat="1" ht="13.5" customHeight="1">
      <c r="A23" s="1121" t="s">
        <v>115</v>
      </c>
      <c r="B23" s="1122" t="s">
        <v>600</v>
      </c>
      <c r="C23" s="1123">
        <f>+D23+K23</f>
        <v>7041565371</v>
      </c>
      <c r="D23" s="972">
        <f>SUM(E23:J23)</f>
        <v>2816204642</v>
      </c>
      <c r="E23" s="972"/>
      <c r="F23" s="972">
        <v>563517967</v>
      </c>
      <c r="G23" s="972"/>
      <c r="H23" s="972">
        <f>2252696675-10000</f>
        <v>2252686675</v>
      </c>
      <c r="I23" s="972"/>
      <c r="J23" s="972"/>
      <c r="K23" s="1123">
        <f t="shared" si="12"/>
        <v>4225360729</v>
      </c>
      <c r="L23" s="1124"/>
      <c r="M23" s="1124">
        <v>2254000000</v>
      </c>
      <c r="N23" s="1125">
        <f>807500000+204840179</f>
        <v>1012340179</v>
      </c>
      <c r="O23" s="1124"/>
      <c r="P23" s="972">
        <f>1980709454-N23</f>
        <v>968369275</v>
      </c>
      <c r="Q23" s="1124">
        <v>9348725</v>
      </c>
      <c r="R23" s="1126"/>
      <c r="S23" s="1123">
        <f>SUM(T23:U23)</f>
        <v>3174990115</v>
      </c>
      <c r="T23" s="961">
        <v>184710000</v>
      </c>
      <c r="U23" s="1127">
        <f>3174990115-T23</f>
        <v>2990280115</v>
      </c>
      <c r="V23" s="961"/>
      <c r="W23" s="1123">
        <f>+C23-S23-V23</f>
        <v>3866575256</v>
      </c>
      <c r="X23" s="961">
        <v>9290000</v>
      </c>
      <c r="Y23" s="961"/>
      <c r="Z23" s="1128">
        <f>+C23-S23-X23</f>
        <v>3857285256</v>
      </c>
      <c r="AA23" s="1129"/>
      <c r="AB23" s="1130"/>
      <c r="AC23" s="1130"/>
      <c r="AD23" s="1130"/>
    </row>
    <row r="24" spans="1:30" s="877" customFormat="1" ht="13.5" customHeight="1">
      <c r="A24" s="870" t="s">
        <v>115</v>
      </c>
      <c r="B24" s="950" t="s">
        <v>609</v>
      </c>
      <c r="C24" s="875">
        <f>+D24+K24</f>
        <v>255447273</v>
      </c>
      <c r="D24" s="872">
        <f>SUM(E24:J24)</f>
        <v>108100273</v>
      </c>
      <c r="E24" s="872">
        <v>10620000</v>
      </c>
      <c r="F24" s="872">
        <v>12440273</v>
      </c>
      <c r="G24" s="872">
        <f>+-E24</f>
        <v>-10620000</v>
      </c>
      <c r="H24" s="872">
        <v>95660000</v>
      </c>
      <c r="I24" s="872"/>
      <c r="J24" s="872"/>
      <c r="K24" s="875">
        <f t="shared" si="12"/>
        <v>147347000</v>
      </c>
      <c r="L24" s="873"/>
      <c r="M24" s="873">
        <v>68000000</v>
      </c>
      <c r="N24" s="951">
        <v>42500000</v>
      </c>
      <c r="O24" s="873"/>
      <c r="P24" s="873">
        <f>82847000-N24</f>
        <v>40347000</v>
      </c>
      <c r="Q24" s="873">
        <v>3500000</v>
      </c>
      <c r="R24" s="952"/>
      <c r="S24" s="875">
        <f>SUM(T24:U24)</f>
        <v>63110000</v>
      </c>
      <c r="T24" s="869">
        <v>5610000</v>
      </c>
      <c r="U24" s="869">
        <f>63110000-T24</f>
        <v>57500000</v>
      </c>
      <c r="V24" s="869"/>
      <c r="W24" s="875">
        <f>+C24-S24-V24</f>
        <v>192337273</v>
      </c>
      <c r="X24" s="875">
        <v>390000</v>
      </c>
      <c r="Y24" s="869"/>
      <c r="Z24" s="868">
        <f>+C24-S24-X24</f>
        <v>191947273</v>
      </c>
      <c r="AA24" s="954"/>
      <c r="AB24" s="1130"/>
      <c r="AC24" s="1120"/>
      <c r="AD24" s="1120"/>
    </row>
    <row r="25" spans="1:30" s="877" customFormat="1" ht="13.5" customHeight="1">
      <c r="A25" s="870" t="s">
        <v>62</v>
      </c>
      <c r="B25" s="955" t="s">
        <v>680</v>
      </c>
      <c r="C25" s="875">
        <f>+D25+K25</f>
        <v>358000000</v>
      </c>
      <c r="D25" s="872">
        <f>SUM(D26:D27)</f>
        <v>0</v>
      </c>
      <c r="E25" s="872">
        <f t="shared" ref="E25:AA25" si="25">SUM(E26:E27)</f>
        <v>178380</v>
      </c>
      <c r="F25" s="872">
        <f t="shared" si="25"/>
        <v>0</v>
      </c>
      <c r="G25" s="872">
        <f t="shared" si="25"/>
        <v>-178380</v>
      </c>
      <c r="H25" s="872">
        <f t="shared" si="25"/>
        <v>0</v>
      </c>
      <c r="I25" s="872">
        <f t="shared" si="25"/>
        <v>0</v>
      </c>
      <c r="J25" s="872">
        <f t="shared" si="25"/>
        <v>0</v>
      </c>
      <c r="K25" s="875">
        <f t="shared" si="12"/>
        <v>358000000</v>
      </c>
      <c r="L25" s="872">
        <f t="shared" si="25"/>
        <v>0</v>
      </c>
      <c r="M25" s="872">
        <f t="shared" si="25"/>
        <v>358000000</v>
      </c>
      <c r="N25" s="875">
        <f t="shared" si="25"/>
        <v>0</v>
      </c>
      <c r="O25" s="872">
        <f t="shared" si="25"/>
        <v>0</v>
      </c>
      <c r="P25" s="872">
        <f t="shared" si="25"/>
        <v>0</v>
      </c>
      <c r="Q25" s="872">
        <f t="shared" si="25"/>
        <v>0</v>
      </c>
      <c r="R25" s="872">
        <f t="shared" si="25"/>
        <v>0</v>
      </c>
      <c r="S25" s="872">
        <f t="shared" si="25"/>
        <v>358000000</v>
      </c>
      <c r="T25" s="872">
        <f t="shared" si="25"/>
        <v>358000000</v>
      </c>
      <c r="U25" s="872">
        <f t="shared" si="25"/>
        <v>0</v>
      </c>
      <c r="V25" s="872">
        <f t="shared" si="25"/>
        <v>0</v>
      </c>
      <c r="W25" s="872">
        <f t="shared" si="25"/>
        <v>0</v>
      </c>
      <c r="X25" s="872">
        <f t="shared" si="25"/>
        <v>0</v>
      </c>
      <c r="Y25" s="872">
        <f t="shared" si="25"/>
        <v>0</v>
      </c>
      <c r="Z25" s="872">
        <f t="shared" si="25"/>
        <v>0</v>
      </c>
      <c r="AA25" s="872">
        <f t="shared" si="25"/>
        <v>0</v>
      </c>
    </row>
    <row r="26" spans="1:30" s="877" customFormat="1" ht="13.5" customHeight="1">
      <c r="A26" s="870" t="s">
        <v>115</v>
      </c>
      <c r="B26" s="950" t="s">
        <v>600</v>
      </c>
      <c r="C26" s="875">
        <f>+D26+K26</f>
        <v>348000000</v>
      </c>
      <c r="D26" s="872">
        <f>SUM(E26:J26)</f>
        <v>0</v>
      </c>
      <c r="E26" s="872">
        <v>178380</v>
      </c>
      <c r="F26" s="872"/>
      <c r="G26" s="872">
        <f>+-E26</f>
        <v>-178380</v>
      </c>
      <c r="H26" s="872"/>
      <c r="I26" s="872"/>
      <c r="J26" s="872"/>
      <c r="K26" s="875">
        <f t="shared" si="12"/>
        <v>348000000</v>
      </c>
      <c r="L26" s="873"/>
      <c r="M26" s="869">
        <v>348000000</v>
      </c>
      <c r="N26" s="873"/>
      <c r="O26" s="873"/>
      <c r="P26" s="873"/>
      <c r="Q26" s="873"/>
      <c r="R26" s="952"/>
      <c r="S26" s="875">
        <f>SUM(T26:U26)</f>
        <v>348000000</v>
      </c>
      <c r="T26" s="869">
        <v>348000000</v>
      </c>
      <c r="U26" s="953"/>
      <c r="V26" s="869"/>
      <c r="W26" s="875">
        <f>+C26-S26-V26</f>
        <v>0</v>
      </c>
      <c r="X26" s="869"/>
      <c r="Y26" s="869"/>
      <c r="Z26" s="868"/>
      <c r="AA26" s="954"/>
    </row>
    <row r="27" spans="1:30" s="877" customFormat="1" ht="13.5" customHeight="1">
      <c r="A27" s="870" t="s">
        <v>115</v>
      </c>
      <c r="B27" s="950" t="s">
        <v>609</v>
      </c>
      <c r="C27" s="875">
        <f>+D27+K27</f>
        <v>10000000</v>
      </c>
      <c r="D27" s="872">
        <f>SUM(E27:J27)</f>
        <v>0</v>
      </c>
      <c r="E27" s="872"/>
      <c r="F27" s="872">
        <v>0</v>
      </c>
      <c r="G27" s="872"/>
      <c r="H27" s="872"/>
      <c r="I27" s="872"/>
      <c r="J27" s="872"/>
      <c r="K27" s="875">
        <f t="shared" si="12"/>
        <v>10000000</v>
      </c>
      <c r="L27" s="873"/>
      <c r="M27" s="869">
        <v>10000000</v>
      </c>
      <c r="N27" s="873"/>
      <c r="O27" s="873"/>
      <c r="P27" s="873"/>
      <c r="Q27" s="873"/>
      <c r="R27" s="952"/>
      <c r="S27" s="875">
        <f>SUM(T27:U27)</f>
        <v>10000000</v>
      </c>
      <c r="T27" s="869">
        <v>10000000</v>
      </c>
      <c r="U27" s="869"/>
      <c r="V27" s="869"/>
      <c r="W27" s="875">
        <f>+C27-S27-V27</f>
        <v>0</v>
      </c>
      <c r="X27" s="869"/>
      <c r="Y27" s="869"/>
      <c r="Z27" s="868">
        <f>+C27-S27</f>
        <v>0</v>
      </c>
      <c r="AA27" s="954"/>
    </row>
    <row r="28" spans="1:30" s="877" customFormat="1" ht="13.5" customHeight="1">
      <c r="A28" s="870" t="s">
        <v>62</v>
      </c>
      <c r="B28" s="871" t="s">
        <v>602</v>
      </c>
      <c r="C28" s="875">
        <f>+C29+C30</f>
        <v>1300000000</v>
      </c>
      <c r="D28" s="875">
        <f t="shared" ref="D28:AA28" si="26">+D29+D30</f>
        <v>0</v>
      </c>
      <c r="E28" s="875">
        <f>+E29+E30</f>
        <v>4147161630</v>
      </c>
      <c r="F28" s="875">
        <f t="shared" si="26"/>
        <v>0</v>
      </c>
      <c r="G28" s="875">
        <f t="shared" si="26"/>
        <v>-4147161630</v>
      </c>
      <c r="H28" s="875">
        <f t="shared" si="26"/>
        <v>0</v>
      </c>
      <c r="I28" s="875">
        <f t="shared" si="26"/>
        <v>0</v>
      </c>
      <c r="J28" s="875">
        <f t="shared" si="26"/>
        <v>0</v>
      </c>
      <c r="K28" s="875">
        <f t="shared" si="12"/>
        <v>1300000000</v>
      </c>
      <c r="L28" s="875">
        <f t="shared" si="26"/>
        <v>0</v>
      </c>
      <c r="M28" s="875">
        <f t="shared" si="26"/>
        <v>3067000000</v>
      </c>
      <c r="N28" s="875">
        <f t="shared" si="26"/>
        <v>0</v>
      </c>
      <c r="O28" s="875">
        <f t="shared" si="26"/>
        <v>0</v>
      </c>
      <c r="P28" s="875">
        <f t="shared" si="26"/>
        <v>0</v>
      </c>
      <c r="Q28" s="875">
        <f t="shared" si="26"/>
        <v>1767000000</v>
      </c>
      <c r="R28" s="875">
        <f t="shared" si="26"/>
        <v>0</v>
      </c>
      <c r="S28" s="875">
        <f t="shared" si="26"/>
        <v>1009783060</v>
      </c>
      <c r="T28" s="875">
        <f t="shared" si="26"/>
        <v>1009783060</v>
      </c>
      <c r="U28" s="875">
        <f t="shared" si="26"/>
        <v>0</v>
      </c>
      <c r="V28" s="875">
        <f t="shared" si="26"/>
        <v>0</v>
      </c>
      <c r="W28" s="875">
        <f t="shared" si="26"/>
        <v>290216940</v>
      </c>
      <c r="X28" s="875">
        <f t="shared" si="26"/>
        <v>290216940</v>
      </c>
      <c r="Y28" s="875">
        <f t="shared" si="26"/>
        <v>0</v>
      </c>
      <c r="Z28" s="875">
        <f t="shared" si="26"/>
        <v>0</v>
      </c>
      <c r="AA28" s="875">
        <f t="shared" si="26"/>
        <v>0</v>
      </c>
    </row>
    <row r="29" spans="1:30" s="877" customFormat="1" ht="13.5" customHeight="1">
      <c r="A29" s="870" t="s">
        <v>115</v>
      </c>
      <c r="B29" s="950" t="s">
        <v>600</v>
      </c>
      <c r="C29" s="875">
        <f>+D29+K29</f>
        <v>1264020000</v>
      </c>
      <c r="D29" s="872">
        <f>+D32+D35+D38</f>
        <v>0</v>
      </c>
      <c r="E29" s="872">
        <f>+E32+E35+E38</f>
        <v>4005709630</v>
      </c>
      <c r="F29" s="872">
        <f t="shared" ref="F29:AA29" si="27">+F32+F35+F38</f>
        <v>0</v>
      </c>
      <c r="G29" s="872">
        <f t="shared" si="27"/>
        <v>-4005709630</v>
      </c>
      <c r="H29" s="872">
        <f t="shared" si="27"/>
        <v>0</v>
      </c>
      <c r="I29" s="872">
        <f t="shared" si="27"/>
        <v>0</v>
      </c>
      <c r="J29" s="872">
        <f t="shared" si="27"/>
        <v>0</v>
      </c>
      <c r="K29" s="875">
        <f t="shared" si="12"/>
        <v>1264020000</v>
      </c>
      <c r="L29" s="872">
        <f t="shared" si="27"/>
        <v>0</v>
      </c>
      <c r="M29" s="872">
        <f t="shared" si="27"/>
        <v>2978000000</v>
      </c>
      <c r="N29" s="872">
        <f t="shared" si="27"/>
        <v>0</v>
      </c>
      <c r="O29" s="872">
        <f t="shared" si="27"/>
        <v>0</v>
      </c>
      <c r="P29" s="872">
        <f t="shared" si="27"/>
        <v>0</v>
      </c>
      <c r="Q29" s="872">
        <f t="shared" si="27"/>
        <v>1713980000</v>
      </c>
      <c r="R29" s="872">
        <f t="shared" si="27"/>
        <v>0</v>
      </c>
      <c r="S29" s="872">
        <f>+S32+S35+S38</f>
        <v>973803060</v>
      </c>
      <c r="T29" s="872">
        <f t="shared" si="27"/>
        <v>973803060</v>
      </c>
      <c r="U29" s="872">
        <f t="shared" si="27"/>
        <v>0</v>
      </c>
      <c r="V29" s="872">
        <f t="shared" si="27"/>
        <v>0</v>
      </c>
      <c r="W29" s="872">
        <f>+W32+W35+W38</f>
        <v>290216940</v>
      </c>
      <c r="X29" s="872">
        <f t="shared" si="27"/>
        <v>290216940</v>
      </c>
      <c r="Y29" s="872">
        <f t="shared" si="27"/>
        <v>0</v>
      </c>
      <c r="Z29" s="872">
        <f t="shared" si="27"/>
        <v>0</v>
      </c>
      <c r="AA29" s="872">
        <f t="shared" si="27"/>
        <v>0</v>
      </c>
    </row>
    <row r="30" spans="1:30" s="877" customFormat="1" ht="13.5" customHeight="1">
      <c r="A30" s="870" t="s">
        <v>115</v>
      </c>
      <c r="B30" s="950" t="s">
        <v>609</v>
      </c>
      <c r="C30" s="875">
        <f>+C33+C36+C39</f>
        <v>35980000</v>
      </c>
      <c r="D30" s="872">
        <f>+D33+D36+D39</f>
        <v>0</v>
      </c>
      <c r="E30" s="872">
        <f>+E33+E36+E39</f>
        <v>141452000</v>
      </c>
      <c r="F30" s="872">
        <f t="shared" ref="F30:AA30" si="28">+F33+F36+F39</f>
        <v>0</v>
      </c>
      <c r="G30" s="872">
        <f t="shared" si="28"/>
        <v>-141452000</v>
      </c>
      <c r="H30" s="872">
        <f t="shared" si="28"/>
        <v>0</v>
      </c>
      <c r="I30" s="872">
        <f t="shared" si="28"/>
        <v>0</v>
      </c>
      <c r="J30" s="872">
        <f t="shared" si="28"/>
        <v>0</v>
      </c>
      <c r="K30" s="875">
        <f t="shared" si="12"/>
        <v>35980000</v>
      </c>
      <c r="L30" s="872">
        <f t="shared" si="28"/>
        <v>0</v>
      </c>
      <c r="M30" s="872">
        <f t="shared" si="28"/>
        <v>89000000</v>
      </c>
      <c r="N30" s="872">
        <f t="shared" si="28"/>
        <v>0</v>
      </c>
      <c r="O30" s="872">
        <f t="shared" si="28"/>
        <v>0</v>
      </c>
      <c r="P30" s="872">
        <f t="shared" si="28"/>
        <v>0</v>
      </c>
      <c r="Q30" s="872">
        <f t="shared" si="28"/>
        <v>53020000</v>
      </c>
      <c r="R30" s="872">
        <f t="shared" si="28"/>
        <v>0</v>
      </c>
      <c r="S30" s="872">
        <f t="shared" si="28"/>
        <v>35980000</v>
      </c>
      <c r="T30" s="872">
        <f t="shared" si="28"/>
        <v>35980000</v>
      </c>
      <c r="U30" s="872">
        <f t="shared" si="28"/>
        <v>0</v>
      </c>
      <c r="V30" s="872">
        <f t="shared" si="28"/>
        <v>0</v>
      </c>
      <c r="W30" s="872">
        <f t="shared" si="28"/>
        <v>0</v>
      </c>
      <c r="X30" s="872">
        <f t="shared" si="28"/>
        <v>0</v>
      </c>
      <c r="Y30" s="872">
        <f t="shared" si="28"/>
        <v>0</v>
      </c>
      <c r="Z30" s="872">
        <f t="shared" si="28"/>
        <v>0</v>
      </c>
      <c r="AA30" s="872">
        <f t="shared" si="28"/>
        <v>0</v>
      </c>
    </row>
    <row r="31" spans="1:30" s="877" customFormat="1" ht="31.5" customHeight="1">
      <c r="A31" s="870" t="s">
        <v>62</v>
      </c>
      <c r="B31" s="871" t="s">
        <v>1002</v>
      </c>
      <c r="C31" s="875">
        <f>SUM(C32:C33)</f>
        <v>0</v>
      </c>
      <c r="D31" s="875">
        <f t="shared" ref="D31:AA31" si="29">SUM(D32:D33)</f>
        <v>0</v>
      </c>
      <c r="E31" s="875">
        <f t="shared" si="29"/>
        <v>1374000000</v>
      </c>
      <c r="F31" s="875">
        <f t="shared" si="29"/>
        <v>0</v>
      </c>
      <c r="G31" s="875">
        <f t="shared" si="29"/>
        <v>-1374000000</v>
      </c>
      <c r="H31" s="875">
        <f t="shared" si="29"/>
        <v>0</v>
      </c>
      <c r="I31" s="875">
        <f t="shared" si="29"/>
        <v>0</v>
      </c>
      <c r="J31" s="875">
        <f t="shared" si="29"/>
        <v>0</v>
      </c>
      <c r="K31" s="875">
        <f t="shared" si="12"/>
        <v>0</v>
      </c>
      <c r="L31" s="875">
        <f t="shared" si="29"/>
        <v>0</v>
      </c>
      <c r="M31" s="875">
        <f t="shared" si="29"/>
        <v>0</v>
      </c>
      <c r="N31" s="875">
        <f t="shared" si="29"/>
        <v>0</v>
      </c>
      <c r="O31" s="875">
        <f t="shared" si="29"/>
        <v>0</v>
      </c>
      <c r="P31" s="875">
        <f t="shared" si="29"/>
        <v>0</v>
      </c>
      <c r="Q31" s="875">
        <f t="shared" si="29"/>
        <v>0</v>
      </c>
      <c r="R31" s="875">
        <f t="shared" si="29"/>
        <v>0</v>
      </c>
      <c r="S31" s="875">
        <f t="shared" si="29"/>
        <v>0</v>
      </c>
      <c r="T31" s="875">
        <f t="shared" si="29"/>
        <v>0</v>
      </c>
      <c r="U31" s="875">
        <f t="shared" si="29"/>
        <v>0</v>
      </c>
      <c r="V31" s="875">
        <f t="shared" si="29"/>
        <v>0</v>
      </c>
      <c r="W31" s="875">
        <f t="shared" si="29"/>
        <v>0</v>
      </c>
      <c r="X31" s="875">
        <f t="shared" si="29"/>
        <v>0</v>
      </c>
      <c r="Y31" s="875">
        <f t="shared" si="29"/>
        <v>0</v>
      </c>
      <c r="Z31" s="875">
        <f t="shared" si="29"/>
        <v>0</v>
      </c>
      <c r="AA31" s="875">
        <f t="shared" si="29"/>
        <v>0</v>
      </c>
    </row>
    <row r="32" spans="1:30" s="877" customFormat="1" ht="12" customHeight="1">
      <c r="A32" s="870" t="s">
        <v>115</v>
      </c>
      <c r="B32" s="950" t="s">
        <v>600</v>
      </c>
      <c r="C32" s="875">
        <f>+D32+K32</f>
        <v>0</v>
      </c>
      <c r="D32" s="872">
        <f>SUM(E32:J32)</f>
        <v>0</v>
      </c>
      <c r="E32" s="872">
        <v>1334000000</v>
      </c>
      <c r="F32" s="872"/>
      <c r="G32" s="872">
        <v>-1334000000</v>
      </c>
      <c r="H32" s="872"/>
      <c r="I32" s="872"/>
      <c r="J32" s="872"/>
      <c r="K32" s="875">
        <f t="shared" si="12"/>
        <v>0</v>
      </c>
      <c r="L32" s="873"/>
      <c r="M32" s="873"/>
      <c r="N32" s="873"/>
      <c r="O32" s="873"/>
      <c r="P32" s="873"/>
      <c r="Q32" s="873"/>
      <c r="R32" s="952"/>
      <c r="S32" s="875">
        <f>SUM(T32:U32)</f>
        <v>0</v>
      </c>
      <c r="T32" s="953"/>
      <c r="U32" s="953"/>
      <c r="V32" s="869"/>
      <c r="W32" s="875">
        <f>+C32-S32-V32</f>
        <v>0</v>
      </c>
      <c r="X32" s="869"/>
      <c r="Y32" s="869"/>
      <c r="Z32" s="868"/>
      <c r="AA32" s="954"/>
    </row>
    <row r="33" spans="1:27" s="877" customFormat="1" ht="14.25" customHeight="1">
      <c r="A33" s="870" t="s">
        <v>115</v>
      </c>
      <c r="B33" s="950" t="s">
        <v>609</v>
      </c>
      <c r="C33" s="875">
        <f>+D33+K33</f>
        <v>0</v>
      </c>
      <c r="D33" s="872">
        <f>SUM(E33:J33)</f>
        <v>0</v>
      </c>
      <c r="E33" s="872">
        <v>40000000</v>
      </c>
      <c r="F33" s="872"/>
      <c r="G33" s="872">
        <v>-40000000</v>
      </c>
      <c r="H33" s="872"/>
      <c r="I33" s="872"/>
      <c r="J33" s="872"/>
      <c r="K33" s="875">
        <f t="shared" si="12"/>
        <v>0</v>
      </c>
      <c r="L33" s="873"/>
      <c r="M33" s="873"/>
      <c r="N33" s="873"/>
      <c r="O33" s="873"/>
      <c r="P33" s="873"/>
      <c r="Q33" s="873"/>
      <c r="R33" s="952"/>
      <c r="S33" s="875">
        <f>SUM(T33:U33)</f>
        <v>0</v>
      </c>
      <c r="T33" s="869"/>
      <c r="U33" s="869"/>
      <c r="V33" s="869"/>
      <c r="W33" s="875">
        <f>+C33-S33-V33</f>
        <v>0</v>
      </c>
      <c r="X33" s="869"/>
      <c r="Y33" s="869"/>
      <c r="Z33" s="868"/>
      <c r="AA33" s="954"/>
    </row>
    <row r="34" spans="1:27" s="877" customFormat="1" ht="28.5" customHeight="1">
      <c r="A34" s="870" t="s">
        <v>62</v>
      </c>
      <c r="B34" s="871" t="s">
        <v>1003</v>
      </c>
      <c r="C34" s="875">
        <f>SUM(C35:C36)</f>
        <v>1000000000</v>
      </c>
      <c r="D34" s="875">
        <f t="shared" ref="D34:AA34" si="30">SUM(D35:D36)</f>
        <v>0</v>
      </c>
      <c r="E34" s="875">
        <f t="shared" si="30"/>
        <v>2238196190</v>
      </c>
      <c r="F34" s="875">
        <f t="shared" si="30"/>
        <v>0</v>
      </c>
      <c r="G34" s="875">
        <f t="shared" si="30"/>
        <v>-2238196190</v>
      </c>
      <c r="H34" s="875">
        <f t="shared" si="30"/>
        <v>0</v>
      </c>
      <c r="I34" s="875">
        <f t="shared" si="30"/>
        <v>0</v>
      </c>
      <c r="J34" s="875">
        <f t="shared" si="30"/>
        <v>0</v>
      </c>
      <c r="K34" s="875">
        <f t="shared" si="12"/>
        <v>1000000000</v>
      </c>
      <c r="L34" s="875">
        <f t="shared" si="30"/>
        <v>0</v>
      </c>
      <c r="M34" s="875">
        <f t="shared" si="30"/>
        <v>2333000000</v>
      </c>
      <c r="N34" s="875">
        <f t="shared" si="30"/>
        <v>0</v>
      </c>
      <c r="O34" s="875">
        <f t="shared" si="30"/>
        <v>0</v>
      </c>
      <c r="P34" s="875">
        <f t="shared" si="30"/>
        <v>0</v>
      </c>
      <c r="Q34" s="875">
        <f t="shared" si="30"/>
        <v>1333000000</v>
      </c>
      <c r="R34" s="875">
        <f t="shared" si="30"/>
        <v>0</v>
      </c>
      <c r="S34" s="875">
        <f t="shared" si="30"/>
        <v>958007060</v>
      </c>
      <c r="T34" s="875">
        <f t="shared" si="30"/>
        <v>958007060</v>
      </c>
      <c r="U34" s="875">
        <f t="shared" si="30"/>
        <v>0</v>
      </c>
      <c r="V34" s="875">
        <f t="shared" si="30"/>
        <v>0</v>
      </c>
      <c r="W34" s="875">
        <f t="shared" si="30"/>
        <v>41992940</v>
      </c>
      <c r="X34" s="875">
        <f t="shared" si="30"/>
        <v>41992940</v>
      </c>
      <c r="Y34" s="875">
        <f t="shared" si="30"/>
        <v>0</v>
      </c>
      <c r="Z34" s="875">
        <f t="shared" si="30"/>
        <v>0</v>
      </c>
      <c r="AA34" s="875">
        <f t="shared" si="30"/>
        <v>0</v>
      </c>
    </row>
    <row r="35" spans="1:27" s="877" customFormat="1" ht="12" customHeight="1">
      <c r="A35" s="870" t="s">
        <v>115</v>
      </c>
      <c r="B35" s="950" t="s">
        <v>600</v>
      </c>
      <c r="C35" s="875">
        <f>+D35+K35</f>
        <v>972000000</v>
      </c>
      <c r="D35" s="872">
        <f>SUM(E35:J35)</f>
        <v>0</v>
      </c>
      <c r="E35" s="872">
        <v>2152834190</v>
      </c>
      <c r="F35" s="872"/>
      <c r="G35" s="872">
        <f>-E35</f>
        <v>-2152834190</v>
      </c>
      <c r="H35" s="872"/>
      <c r="I35" s="872"/>
      <c r="J35" s="872"/>
      <c r="K35" s="875">
        <f t="shared" si="12"/>
        <v>972000000</v>
      </c>
      <c r="L35" s="873"/>
      <c r="M35" s="873">
        <v>2265000000</v>
      </c>
      <c r="N35" s="873"/>
      <c r="O35" s="873"/>
      <c r="P35" s="873"/>
      <c r="Q35" s="873">
        <v>1293000000</v>
      </c>
      <c r="R35" s="952"/>
      <c r="S35" s="875">
        <f>SUM(T35:U35)</f>
        <v>930007060</v>
      </c>
      <c r="T35" s="953">
        <v>930007060</v>
      </c>
      <c r="U35" s="953"/>
      <c r="V35" s="869"/>
      <c r="W35" s="875">
        <f>+C35-S35-V35</f>
        <v>41992940</v>
      </c>
      <c r="X35" s="869">
        <f>+W35</f>
        <v>41992940</v>
      </c>
      <c r="Y35" s="869"/>
      <c r="Z35" s="868"/>
      <c r="AA35" s="954"/>
    </row>
    <row r="36" spans="1:27" s="877" customFormat="1" ht="12" customHeight="1">
      <c r="A36" s="870" t="s">
        <v>115</v>
      </c>
      <c r="B36" s="950" t="s">
        <v>609</v>
      </c>
      <c r="C36" s="875">
        <f>+D36+K36</f>
        <v>28000000</v>
      </c>
      <c r="D36" s="872">
        <f>SUM(E36:J36)</f>
        <v>0</v>
      </c>
      <c r="E36" s="872">
        <v>85362000</v>
      </c>
      <c r="F36" s="872"/>
      <c r="G36" s="872">
        <f>-E36</f>
        <v>-85362000</v>
      </c>
      <c r="H36" s="872"/>
      <c r="I36" s="872"/>
      <c r="J36" s="872"/>
      <c r="K36" s="875">
        <f t="shared" si="12"/>
        <v>28000000</v>
      </c>
      <c r="L36" s="873"/>
      <c r="M36" s="873">
        <v>68000000</v>
      </c>
      <c r="N36" s="873"/>
      <c r="O36" s="873"/>
      <c r="P36" s="873"/>
      <c r="Q36" s="873">
        <v>40000000</v>
      </c>
      <c r="R36" s="952"/>
      <c r="S36" s="875">
        <f>SUM(T36:U36)</f>
        <v>28000000</v>
      </c>
      <c r="T36" s="869">
        <v>28000000</v>
      </c>
      <c r="U36" s="869"/>
      <c r="V36" s="869"/>
      <c r="W36" s="875">
        <f>+C36-S36-V36</f>
        <v>0</v>
      </c>
      <c r="X36" s="869"/>
      <c r="Y36" s="869"/>
      <c r="Z36" s="868"/>
      <c r="AA36" s="954"/>
    </row>
    <row r="37" spans="1:27" s="877" customFormat="1" ht="12" customHeight="1">
      <c r="A37" s="870" t="s">
        <v>62</v>
      </c>
      <c r="B37" s="871" t="s">
        <v>682</v>
      </c>
      <c r="C37" s="875">
        <f>+D37+K37</f>
        <v>300000000</v>
      </c>
      <c r="D37" s="872">
        <f>SUM(D38:D39)</f>
        <v>0</v>
      </c>
      <c r="E37" s="872">
        <f t="shared" ref="E37:AA37" si="31">SUM(E38:E39)</f>
        <v>534965440</v>
      </c>
      <c r="F37" s="872">
        <f t="shared" si="31"/>
        <v>0</v>
      </c>
      <c r="G37" s="872">
        <f t="shared" si="31"/>
        <v>-534965440</v>
      </c>
      <c r="H37" s="872">
        <f t="shared" si="31"/>
        <v>0</v>
      </c>
      <c r="I37" s="872">
        <f t="shared" si="31"/>
        <v>0</v>
      </c>
      <c r="J37" s="872">
        <f t="shared" si="31"/>
        <v>0</v>
      </c>
      <c r="K37" s="875">
        <f t="shared" si="12"/>
        <v>300000000</v>
      </c>
      <c r="L37" s="872">
        <f t="shared" si="31"/>
        <v>0</v>
      </c>
      <c r="M37" s="872">
        <f t="shared" si="31"/>
        <v>734000000</v>
      </c>
      <c r="N37" s="872">
        <f t="shared" si="31"/>
        <v>0</v>
      </c>
      <c r="O37" s="872">
        <f t="shared" si="31"/>
        <v>0</v>
      </c>
      <c r="P37" s="872">
        <f t="shared" si="31"/>
        <v>0</v>
      </c>
      <c r="Q37" s="872">
        <f t="shared" si="31"/>
        <v>434000000</v>
      </c>
      <c r="R37" s="872">
        <f t="shared" si="31"/>
        <v>0</v>
      </c>
      <c r="S37" s="875">
        <f t="shared" si="31"/>
        <v>51776000</v>
      </c>
      <c r="T37" s="875">
        <f t="shared" si="31"/>
        <v>51776000</v>
      </c>
      <c r="U37" s="872">
        <f t="shared" si="31"/>
        <v>0</v>
      </c>
      <c r="V37" s="872">
        <f t="shared" si="31"/>
        <v>0</v>
      </c>
      <c r="W37" s="872">
        <f t="shared" si="31"/>
        <v>248224000</v>
      </c>
      <c r="X37" s="872">
        <f t="shared" si="31"/>
        <v>248224000</v>
      </c>
      <c r="Y37" s="872">
        <f t="shared" si="31"/>
        <v>0</v>
      </c>
      <c r="Z37" s="872">
        <f t="shared" si="31"/>
        <v>0</v>
      </c>
      <c r="AA37" s="872">
        <f t="shared" si="31"/>
        <v>0</v>
      </c>
    </row>
    <row r="38" spans="1:27" s="877" customFormat="1" ht="12" customHeight="1">
      <c r="A38" s="870" t="s">
        <v>115</v>
      </c>
      <c r="B38" s="950" t="s">
        <v>600</v>
      </c>
      <c r="C38" s="875">
        <f>+D38+K38</f>
        <v>292020000</v>
      </c>
      <c r="D38" s="872">
        <f>SUM(E38:J38)</f>
        <v>0</v>
      </c>
      <c r="E38" s="872">
        <v>518875440</v>
      </c>
      <c r="F38" s="872"/>
      <c r="G38" s="872">
        <f>-E38</f>
        <v>-518875440</v>
      </c>
      <c r="H38" s="872"/>
      <c r="I38" s="872"/>
      <c r="J38" s="872"/>
      <c r="K38" s="875">
        <f t="shared" si="12"/>
        <v>292020000</v>
      </c>
      <c r="L38" s="873"/>
      <c r="M38" s="873">
        <v>713000000</v>
      </c>
      <c r="N38" s="873"/>
      <c r="O38" s="873"/>
      <c r="P38" s="873"/>
      <c r="Q38" s="873">
        <v>420980000</v>
      </c>
      <c r="R38" s="952"/>
      <c r="S38" s="875">
        <f>SUM(T38:U38)</f>
        <v>43796000</v>
      </c>
      <c r="T38" s="953">
        <v>43796000</v>
      </c>
      <c r="U38" s="953"/>
      <c r="V38" s="869"/>
      <c r="W38" s="875">
        <f>+C38-S38-V38</f>
        <v>248224000</v>
      </c>
      <c r="X38" s="869">
        <f>+W38</f>
        <v>248224000</v>
      </c>
      <c r="Y38" s="869"/>
      <c r="Z38" s="868"/>
      <c r="AA38" s="954"/>
    </row>
    <row r="39" spans="1:27" s="877" customFormat="1" ht="12" customHeight="1">
      <c r="A39" s="870" t="s">
        <v>115</v>
      </c>
      <c r="B39" s="950" t="s">
        <v>609</v>
      </c>
      <c r="C39" s="875">
        <f>+D39+K39</f>
        <v>7980000</v>
      </c>
      <c r="D39" s="872">
        <f t="shared" ref="D39:D48" si="32">SUM(E39:J39)</f>
        <v>0</v>
      </c>
      <c r="E39" s="872">
        <v>16090000</v>
      </c>
      <c r="F39" s="872"/>
      <c r="G39" s="872">
        <f>-E39</f>
        <v>-16090000</v>
      </c>
      <c r="H39" s="872"/>
      <c r="I39" s="872"/>
      <c r="J39" s="872"/>
      <c r="K39" s="875">
        <f t="shared" si="12"/>
        <v>7980000</v>
      </c>
      <c r="L39" s="873"/>
      <c r="M39" s="873">
        <v>21000000</v>
      </c>
      <c r="N39" s="873"/>
      <c r="O39" s="873"/>
      <c r="P39" s="873"/>
      <c r="Q39" s="873">
        <v>13020000</v>
      </c>
      <c r="R39" s="952"/>
      <c r="S39" s="875">
        <f>SUM(T39:U39)</f>
        <v>7980000</v>
      </c>
      <c r="T39" s="869">
        <v>7980000</v>
      </c>
      <c r="U39" s="869"/>
      <c r="V39" s="869"/>
      <c r="W39" s="875">
        <f>+C39-S39-V39</f>
        <v>0</v>
      </c>
      <c r="X39" s="869"/>
      <c r="Y39" s="869"/>
      <c r="Z39" s="868"/>
      <c r="AA39" s="954"/>
    </row>
    <row r="40" spans="1:27" s="877" customFormat="1" ht="12" customHeight="1">
      <c r="A40" s="870" t="s">
        <v>62</v>
      </c>
      <c r="B40" s="871" t="s">
        <v>603</v>
      </c>
      <c r="C40" s="875">
        <f>SUM(C41:C42)</f>
        <v>792315610</v>
      </c>
      <c r="D40" s="875">
        <f t="shared" ref="D40:AA40" si="33">SUM(D41:D42)</f>
        <v>178380</v>
      </c>
      <c r="E40" s="875">
        <f t="shared" si="33"/>
        <v>0</v>
      </c>
      <c r="F40" s="875">
        <f t="shared" si="33"/>
        <v>0</v>
      </c>
      <c r="G40" s="875">
        <f t="shared" si="33"/>
        <v>178380</v>
      </c>
      <c r="H40" s="875">
        <f t="shared" si="33"/>
        <v>0</v>
      </c>
      <c r="I40" s="875">
        <f t="shared" si="33"/>
        <v>0</v>
      </c>
      <c r="J40" s="875">
        <f t="shared" si="33"/>
        <v>0</v>
      </c>
      <c r="K40" s="875">
        <f t="shared" si="12"/>
        <v>792137230</v>
      </c>
      <c r="L40" s="875">
        <f t="shared" si="33"/>
        <v>0</v>
      </c>
      <c r="M40" s="875">
        <f t="shared" si="33"/>
        <v>387000000</v>
      </c>
      <c r="N40" s="875">
        <f t="shared" si="33"/>
        <v>380000000</v>
      </c>
      <c r="O40" s="875">
        <f t="shared" si="33"/>
        <v>0</v>
      </c>
      <c r="P40" s="875">
        <f t="shared" si="33"/>
        <v>25137230</v>
      </c>
      <c r="Q40" s="875">
        <f t="shared" si="33"/>
        <v>0</v>
      </c>
      <c r="R40" s="875">
        <f t="shared" si="33"/>
        <v>0</v>
      </c>
      <c r="S40" s="875">
        <f t="shared" si="33"/>
        <v>792315610</v>
      </c>
      <c r="T40" s="875">
        <f>SUM(T41:T42)</f>
        <v>792315610</v>
      </c>
      <c r="U40" s="875">
        <f t="shared" si="33"/>
        <v>0</v>
      </c>
      <c r="V40" s="875">
        <f t="shared" si="33"/>
        <v>0</v>
      </c>
      <c r="W40" s="875">
        <f t="shared" si="33"/>
        <v>0</v>
      </c>
      <c r="X40" s="875">
        <f t="shared" si="33"/>
        <v>0</v>
      </c>
      <c r="Y40" s="875">
        <f t="shared" si="33"/>
        <v>0</v>
      </c>
      <c r="Z40" s="875">
        <f t="shared" si="33"/>
        <v>0</v>
      </c>
      <c r="AA40" s="875">
        <f t="shared" si="33"/>
        <v>0</v>
      </c>
    </row>
    <row r="41" spans="1:27" s="877" customFormat="1" ht="12" customHeight="1">
      <c r="A41" s="870" t="s">
        <v>115</v>
      </c>
      <c r="B41" s="950" t="s">
        <v>600</v>
      </c>
      <c r="C41" s="875">
        <f t="shared" ref="C41:E42" si="34">+C44+C47</f>
        <v>767315610</v>
      </c>
      <c r="D41" s="875">
        <f t="shared" si="34"/>
        <v>178380</v>
      </c>
      <c r="E41" s="875">
        <f t="shared" si="34"/>
        <v>0</v>
      </c>
      <c r="F41" s="875">
        <f t="shared" ref="F41:X41" si="35">+F44+F47</f>
        <v>0</v>
      </c>
      <c r="G41" s="875">
        <f t="shared" si="35"/>
        <v>178380</v>
      </c>
      <c r="H41" s="872">
        <f t="shared" si="35"/>
        <v>0</v>
      </c>
      <c r="I41" s="872">
        <f t="shared" si="35"/>
        <v>0</v>
      </c>
      <c r="J41" s="872">
        <f t="shared" si="35"/>
        <v>0</v>
      </c>
      <c r="K41" s="875">
        <f t="shared" si="12"/>
        <v>767137230</v>
      </c>
      <c r="L41" s="872">
        <f t="shared" si="35"/>
        <v>0</v>
      </c>
      <c r="M41" s="872">
        <f t="shared" si="35"/>
        <v>376000000</v>
      </c>
      <c r="N41" s="872">
        <f t="shared" si="35"/>
        <v>366000000</v>
      </c>
      <c r="O41" s="872">
        <f t="shared" si="35"/>
        <v>0</v>
      </c>
      <c r="P41" s="875">
        <f t="shared" si="35"/>
        <v>25137230</v>
      </c>
      <c r="Q41" s="872">
        <f t="shared" si="35"/>
        <v>0</v>
      </c>
      <c r="R41" s="872">
        <f t="shared" si="35"/>
        <v>0</v>
      </c>
      <c r="S41" s="875">
        <f t="shared" si="35"/>
        <v>767315610</v>
      </c>
      <c r="T41" s="872">
        <f t="shared" si="35"/>
        <v>767315610</v>
      </c>
      <c r="U41" s="872">
        <f t="shared" si="35"/>
        <v>0</v>
      </c>
      <c r="V41" s="872">
        <f t="shared" si="35"/>
        <v>0</v>
      </c>
      <c r="W41" s="872">
        <f t="shared" si="35"/>
        <v>0</v>
      </c>
      <c r="X41" s="872">
        <f t="shared" si="35"/>
        <v>0</v>
      </c>
      <c r="Y41" s="875">
        <f>+Y44+Y47</f>
        <v>0</v>
      </c>
      <c r="Z41" s="875">
        <f>+Z44+Z47</f>
        <v>0</v>
      </c>
      <c r="AA41" s="875">
        <v>0</v>
      </c>
    </row>
    <row r="42" spans="1:27" s="877" customFormat="1" ht="12" customHeight="1">
      <c r="A42" s="870" t="s">
        <v>115</v>
      </c>
      <c r="B42" s="950" t="s">
        <v>609</v>
      </c>
      <c r="C42" s="875">
        <f t="shared" si="34"/>
        <v>25000000</v>
      </c>
      <c r="D42" s="872">
        <f t="shared" si="34"/>
        <v>0</v>
      </c>
      <c r="E42" s="872">
        <f t="shared" si="34"/>
        <v>0</v>
      </c>
      <c r="F42" s="872">
        <f t="shared" ref="F42:X42" si="36">+F45+F48</f>
        <v>0</v>
      </c>
      <c r="G42" s="872">
        <f t="shared" si="36"/>
        <v>0</v>
      </c>
      <c r="H42" s="872">
        <f t="shared" si="36"/>
        <v>0</v>
      </c>
      <c r="I42" s="872">
        <f t="shared" si="36"/>
        <v>0</v>
      </c>
      <c r="J42" s="872">
        <f t="shared" si="36"/>
        <v>0</v>
      </c>
      <c r="K42" s="875">
        <f t="shared" si="12"/>
        <v>25000000</v>
      </c>
      <c r="L42" s="872">
        <f t="shared" si="36"/>
        <v>0</v>
      </c>
      <c r="M42" s="872">
        <f t="shared" si="36"/>
        <v>11000000</v>
      </c>
      <c r="N42" s="872">
        <f t="shared" si="36"/>
        <v>14000000</v>
      </c>
      <c r="O42" s="872">
        <f t="shared" si="36"/>
        <v>0</v>
      </c>
      <c r="P42" s="875">
        <f t="shared" si="36"/>
        <v>0</v>
      </c>
      <c r="Q42" s="872">
        <f t="shared" si="36"/>
        <v>0</v>
      </c>
      <c r="R42" s="872">
        <f t="shared" si="36"/>
        <v>0</v>
      </c>
      <c r="S42" s="875">
        <f t="shared" si="36"/>
        <v>25000000</v>
      </c>
      <c r="T42" s="872">
        <f t="shared" si="36"/>
        <v>25000000</v>
      </c>
      <c r="U42" s="872">
        <f t="shared" si="36"/>
        <v>0</v>
      </c>
      <c r="V42" s="872">
        <f t="shared" si="36"/>
        <v>0</v>
      </c>
      <c r="W42" s="872">
        <f t="shared" si="36"/>
        <v>0</v>
      </c>
      <c r="X42" s="872">
        <f t="shared" si="36"/>
        <v>0</v>
      </c>
      <c r="Y42" s="875">
        <f>+Y45+Y48</f>
        <v>0</v>
      </c>
      <c r="Z42" s="875">
        <f>+Z45+Z48</f>
        <v>0</v>
      </c>
      <c r="AA42" s="875">
        <v>0</v>
      </c>
    </row>
    <row r="43" spans="1:27" s="877" customFormat="1" ht="12.75" customHeight="1">
      <c r="A43" s="870" t="s">
        <v>62</v>
      </c>
      <c r="B43" s="871" t="s">
        <v>683</v>
      </c>
      <c r="C43" s="875">
        <f>+D43+K43</f>
        <v>221000000</v>
      </c>
      <c r="D43" s="872">
        <f t="shared" si="32"/>
        <v>0</v>
      </c>
      <c r="E43" s="872">
        <v>0</v>
      </c>
      <c r="F43" s="872">
        <v>0</v>
      </c>
      <c r="G43" s="872"/>
      <c r="H43" s="872"/>
      <c r="I43" s="872">
        <v>0</v>
      </c>
      <c r="J43" s="872">
        <v>0</v>
      </c>
      <c r="K43" s="875">
        <f t="shared" si="12"/>
        <v>221000000</v>
      </c>
      <c r="L43" s="872">
        <f t="shared" ref="L43:R43" si="37">SUM(L44:L45)</f>
        <v>0</v>
      </c>
      <c r="M43" s="872">
        <f t="shared" si="37"/>
        <v>141000000</v>
      </c>
      <c r="N43" s="872">
        <f t="shared" si="37"/>
        <v>80000000</v>
      </c>
      <c r="O43" s="872">
        <f t="shared" si="37"/>
        <v>0</v>
      </c>
      <c r="P43" s="875">
        <f t="shared" si="37"/>
        <v>0</v>
      </c>
      <c r="Q43" s="872">
        <f t="shared" si="37"/>
        <v>0</v>
      </c>
      <c r="R43" s="872">
        <f t="shared" si="37"/>
        <v>0</v>
      </c>
      <c r="S43" s="875">
        <f>SUM(T43:U43)</f>
        <v>221000000</v>
      </c>
      <c r="T43" s="875">
        <f>SUM(T44:T45)</f>
        <v>221000000</v>
      </c>
      <c r="U43" s="875">
        <f>SUM(U44:U45)</f>
        <v>0</v>
      </c>
      <c r="V43" s="875">
        <f>SUM(V44:V45)</f>
        <v>0</v>
      </c>
      <c r="W43" s="875">
        <f>+C43-S43-V43</f>
        <v>0</v>
      </c>
      <c r="X43" s="875">
        <v>0</v>
      </c>
      <c r="Y43" s="875">
        <f>SUM(Y44:Y45)</f>
        <v>0</v>
      </c>
      <c r="Z43" s="875">
        <f>SUM(Z44:Z45)</f>
        <v>0</v>
      </c>
      <c r="AA43" s="875">
        <v>0</v>
      </c>
    </row>
    <row r="44" spans="1:27" s="877" customFormat="1" ht="12.75" customHeight="1">
      <c r="A44" s="870" t="s">
        <v>115</v>
      </c>
      <c r="B44" s="950" t="s">
        <v>600</v>
      </c>
      <c r="C44" s="875">
        <f>+D44+K44</f>
        <v>213000000</v>
      </c>
      <c r="D44" s="872">
        <f t="shared" si="32"/>
        <v>0</v>
      </c>
      <c r="E44" s="872">
        <v>0</v>
      </c>
      <c r="F44" s="872"/>
      <c r="G44" s="872"/>
      <c r="H44" s="872"/>
      <c r="I44" s="872"/>
      <c r="J44" s="872"/>
      <c r="K44" s="875">
        <f t="shared" si="12"/>
        <v>213000000</v>
      </c>
      <c r="L44" s="873"/>
      <c r="M44" s="873">
        <v>137000000</v>
      </c>
      <c r="N44" s="873">
        <v>76000000</v>
      </c>
      <c r="O44" s="873"/>
      <c r="P44" s="951"/>
      <c r="Q44" s="873"/>
      <c r="R44" s="952"/>
      <c r="S44" s="875">
        <f>SUM(T44:U44)</f>
        <v>213000000</v>
      </c>
      <c r="T44" s="953">
        <v>213000000</v>
      </c>
      <c r="U44" s="953"/>
      <c r="V44" s="869"/>
      <c r="W44" s="875">
        <f>+C44-S44-V44</f>
        <v>0</v>
      </c>
      <c r="X44" s="869">
        <v>0</v>
      </c>
      <c r="Y44" s="869"/>
      <c r="Z44" s="868"/>
      <c r="AA44" s="954"/>
    </row>
    <row r="45" spans="1:27" s="877" customFormat="1" ht="12.75" customHeight="1">
      <c r="A45" s="870" t="s">
        <v>115</v>
      </c>
      <c r="B45" s="950" t="s">
        <v>609</v>
      </c>
      <c r="C45" s="875">
        <f>+D45+K45</f>
        <v>8000000</v>
      </c>
      <c r="D45" s="872">
        <f t="shared" si="32"/>
        <v>0</v>
      </c>
      <c r="E45" s="872"/>
      <c r="F45" s="872">
        <v>0</v>
      </c>
      <c r="G45" s="872"/>
      <c r="H45" s="872"/>
      <c r="I45" s="872"/>
      <c r="J45" s="872"/>
      <c r="K45" s="875">
        <f t="shared" si="12"/>
        <v>8000000</v>
      </c>
      <c r="L45" s="873"/>
      <c r="M45" s="873">
        <v>4000000</v>
      </c>
      <c r="N45" s="873">
        <v>4000000</v>
      </c>
      <c r="O45" s="873"/>
      <c r="P45" s="951"/>
      <c r="Q45" s="873"/>
      <c r="R45" s="952"/>
      <c r="S45" s="875">
        <f>SUM(T45:U45)</f>
        <v>8000000</v>
      </c>
      <c r="T45" s="953">
        <v>8000000</v>
      </c>
      <c r="U45" s="869"/>
      <c r="V45" s="869"/>
      <c r="W45" s="875">
        <f>+C45-S45-V45</f>
        <v>0</v>
      </c>
      <c r="X45" s="869"/>
      <c r="Y45" s="869"/>
      <c r="Z45" s="868">
        <f>+C45-S45</f>
        <v>0</v>
      </c>
      <c r="AA45" s="954"/>
    </row>
    <row r="46" spans="1:27" s="877" customFormat="1" ht="12.75" customHeight="1">
      <c r="A46" s="870" t="s">
        <v>62</v>
      </c>
      <c r="B46" s="871" t="s">
        <v>684</v>
      </c>
      <c r="C46" s="875">
        <f>SUM(C47:C48)</f>
        <v>571315610</v>
      </c>
      <c r="D46" s="875">
        <f t="shared" ref="D46:AA46" si="38">SUM(D47:D48)</f>
        <v>178380</v>
      </c>
      <c r="E46" s="875">
        <f t="shared" si="38"/>
        <v>0</v>
      </c>
      <c r="F46" s="875">
        <f t="shared" si="38"/>
        <v>0</v>
      </c>
      <c r="G46" s="875">
        <f t="shared" si="38"/>
        <v>178380</v>
      </c>
      <c r="H46" s="875">
        <f t="shared" si="38"/>
        <v>0</v>
      </c>
      <c r="I46" s="875">
        <f t="shared" si="38"/>
        <v>0</v>
      </c>
      <c r="J46" s="875">
        <f t="shared" si="38"/>
        <v>0</v>
      </c>
      <c r="K46" s="875">
        <f t="shared" si="12"/>
        <v>571137230</v>
      </c>
      <c r="L46" s="875">
        <f t="shared" si="38"/>
        <v>0</v>
      </c>
      <c r="M46" s="875">
        <f t="shared" si="38"/>
        <v>246000000</v>
      </c>
      <c r="N46" s="875">
        <f t="shared" si="38"/>
        <v>300000000</v>
      </c>
      <c r="O46" s="875">
        <f t="shared" si="38"/>
        <v>0</v>
      </c>
      <c r="P46" s="875">
        <f t="shared" si="38"/>
        <v>25137230</v>
      </c>
      <c r="Q46" s="875">
        <f t="shared" si="38"/>
        <v>0</v>
      </c>
      <c r="R46" s="875">
        <f t="shared" si="38"/>
        <v>0</v>
      </c>
      <c r="S46" s="875">
        <f t="shared" si="38"/>
        <v>571315610</v>
      </c>
      <c r="T46" s="875">
        <f t="shared" si="38"/>
        <v>571315610</v>
      </c>
      <c r="U46" s="875">
        <f t="shared" si="38"/>
        <v>0</v>
      </c>
      <c r="V46" s="875">
        <f t="shared" si="38"/>
        <v>0</v>
      </c>
      <c r="W46" s="875">
        <f t="shared" si="38"/>
        <v>0</v>
      </c>
      <c r="X46" s="875">
        <f t="shared" si="38"/>
        <v>0</v>
      </c>
      <c r="Y46" s="875">
        <f t="shared" si="38"/>
        <v>0</v>
      </c>
      <c r="Z46" s="875">
        <f t="shared" si="38"/>
        <v>0</v>
      </c>
      <c r="AA46" s="875">
        <f t="shared" si="38"/>
        <v>0</v>
      </c>
    </row>
    <row r="47" spans="1:27" s="877" customFormat="1" ht="12.75" customHeight="1">
      <c r="A47" s="870" t="s">
        <v>115</v>
      </c>
      <c r="B47" s="950" t="s">
        <v>600</v>
      </c>
      <c r="C47" s="875">
        <f>+D47+K47</f>
        <v>554315610</v>
      </c>
      <c r="D47" s="872">
        <f t="shared" si="32"/>
        <v>178380</v>
      </c>
      <c r="E47" s="872">
        <v>0</v>
      </c>
      <c r="F47" s="872"/>
      <c r="G47" s="875">
        <v>178380</v>
      </c>
      <c r="H47" s="872"/>
      <c r="I47" s="872"/>
      <c r="J47" s="872"/>
      <c r="K47" s="875">
        <f t="shared" si="12"/>
        <v>554137230</v>
      </c>
      <c r="L47" s="873"/>
      <c r="M47" s="873">
        <v>239000000</v>
      </c>
      <c r="N47" s="873">
        <v>290000000</v>
      </c>
      <c r="O47" s="873"/>
      <c r="P47" s="951">
        <f>315137230-N47</f>
        <v>25137230</v>
      </c>
      <c r="Q47" s="873"/>
      <c r="R47" s="952"/>
      <c r="S47" s="875">
        <f>SUM(T47:U47)</f>
        <v>554315610</v>
      </c>
      <c r="T47" s="953">
        <v>554315610</v>
      </c>
      <c r="U47" s="953"/>
      <c r="V47" s="869"/>
      <c r="W47" s="875">
        <f>+C47-S47-V47</f>
        <v>0</v>
      </c>
      <c r="X47" s="869">
        <v>0</v>
      </c>
      <c r="Y47" s="869"/>
      <c r="Z47" s="868"/>
      <c r="AA47" s="954"/>
    </row>
    <row r="48" spans="1:27" s="877" customFormat="1" ht="12.75" customHeight="1">
      <c r="A48" s="870" t="s">
        <v>115</v>
      </c>
      <c r="B48" s="950" t="s">
        <v>609</v>
      </c>
      <c r="C48" s="875">
        <f>+D48+K48</f>
        <v>17000000</v>
      </c>
      <c r="D48" s="872">
        <f t="shared" si="32"/>
        <v>0</v>
      </c>
      <c r="E48" s="872"/>
      <c r="F48" s="872">
        <v>0</v>
      </c>
      <c r="G48" s="872"/>
      <c r="H48" s="872"/>
      <c r="I48" s="872"/>
      <c r="J48" s="872"/>
      <c r="K48" s="875">
        <f t="shared" si="12"/>
        <v>17000000</v>
      </c>
      <c r="L48" s="873"/>
      <c r="M48" s="873">
        <v>7000000</v>
      </c>
      <c r="N48" s="873">
        <v>10000000</v>
      </c>
      <c r="O48" s="873"/>
      <c r="P48" s="873">
        <f>10000000-N48</f>
        <v>0</v>
      </c>
      <c r="Q48" s="873"/>
      <c r="R48" s="952"/>
      <c r="S48" s="875">
        <f>SUM(T48:U48)</f>
        <v>17000000</v>
      </c>
      <c r="T48" s="953">
        <v>17000000</v>
      </c>
      <c r="U48" s="869"/>
      <c r="V48" s="869"/>
      <c r="W48" s="875">
        <f>+C48-S48-V48</f>
        <v>0</v>
      </c>
      <c r="X48" s="869"/>
      <c r="Y48" s="869"/>
      <c r="Z48" s="868">
        <f>+C48-S48</f>
        <v>0</v>
      </c>
      <c r="AA48" s="954"/>
    </row>
    <row r="49" spans="1:28" s="877" customFormat="1" ht="14.25" customHeight="1">
      <c r="A49" s="870" t="s">
        <v>62</v>
      </c>
      <c r="B49" s="871" t="s">
        <v>604</v>
      </c>
      <c r="C49" s="872">
        <f>SUM(C50:C51)</f>
        <v>2091551330</v>
      </c>
      <c r="D49" s="872">
        <f>SUM(D50:D51)</f>
        <v>195363810</v>
      </c>
      <c r="E49" s="872">
        <f t="shared" ref="E49:V49" si="39">SUM(E50:E51)</f>
        <v>195363810</v>
      </c>
      <c r="F49" s="872">
        <f t="shared" si="39"/>
        <v>0</v>
      </c>
      <c r="G49" s="872">
        <f t="shared" si="39"/>
        <v>0</v>
      </c>
      <c r="H49" s="872">
        <f t="shared" si="39"/>
        <v>0</v>
      </c>
      <c r="I49" s="872">
        <f t="shared" si="39"/>
        <v>0</v>
      </c>
      <c r="J49" s="872">
        <f t="shared" si="39"/>
        <v>0</v>
      </c>
      <c r="K49" s="875">
        <f t="shared" si="12"/>
        <v>1896187520</v>
      </c>
      <c r="L49" s="872">
        <f t="shared" si="39"/>
        <v>0</v>
      </c>
      <c r="M49" s="872">
        <f t="shared" si="39"/>
        <v>1147000000</v>
      </c>
      <c r="N49" s="872">
        <f t="shared" si="39"/>
        <v>0</v>
      </c>
      <c r="O49" s="872">
        <f t="shared" si="39"/>
        <v>0</v>
      </c>
      <c r="P49" s="872">
        <f t="shared" si="39"/>
        <v>749187520</v>
      </c>
      <c r="Q49" s="872">
        <f t="shared" si="39"/>
        <v>0</v>
      </c>
      <c r="R49" s="872">
        <f t="shared" si="39"/>
        <v>0</v>
      </c>
      <c r="S49" s="872">
        <f t="shared" si="39"/>
        <v>1679135666</v>
      </c>
      <c r="T49" s="872">
        <f t="shared" si="39"/>
        <v>593218760</v>
      </c>
      <c r="U49" s="872">
        <f t="shared" si="39"/>
        <v>1085916906</v>
      </c>
      <c r="V49" s="872">
        <f t="shared" si="39"/>
        <v>0</v>
      </c>
      <c r="W49" s="872">
        <f>SUM(W50:W51)</f>
        <v>412415664</v>
      </c>
      <c r="X49" s="872">
        <f>SUM(X50:X51)</f>
        <v>254145050</v>
      </c>
      <c r="Y49" s="872">
        <f>SUM(Y50:Y51)</f>
        <v>0</v>
      </c>
      <c r="Z49" s="872">
        <f>SUM(Z50:Z51)</f>
        <v>158270614</v>
      </c>
      <c r="AA49" s="872">
        <f>SUM(AA50:AA51)</f>
        <v>0</v>
      </c>
    </row>
    <row r="50" spans="1:28" s="877" customFormat="1" ht="14.25" customHeight="1">
      <c r="A50" s="870" t="s">
        <v>115</v>
      </c>
      <c r="B50" s="950" t="s">
        <v>600</v>
      </c>
      <c r="C50" s="872">
        <f>+C53+C56</f>
        <v>2032378330</v>
      </c>
      <c r="D50" s="872">
        <f>+D53+D56</f>
        <v>186363810</v>
      </c>
      <c r="E50" s="872">
        <f t="shared" ref="E50:AA50" si="40">+E53+E56</f>
        <v>186363810</v>
      </c>
      <c r="F50" s="872">
        <f t="shared" si="40"/>
        <v>0</v>
      </c>
      <c r="G50" s="872">
        <f t="shared" si="40"/>
        <v>0</v>
      </c>
      <c r="H50" s="872">
        <f t="shared" si="40"/>
        <v>0</v>
      </c>
      <c r="I50" s="872">
        <f t="shared" si="40"/>
        <v>0</v>
      </c>
      <c r="J50" s="872">
        <f t="shared" si="40"/>
        <v>0</v>
      </c>
      <c r="K50" s="875">
        <f t="shared" si="12"/>
        <v>1846014520</v>
      </c>
      <c r="L50" s="872">
        <f t="shared" si="40"/>
        <v>0</v>
      </c>
      <c r="M50" s="872">
        <f t="shared" si="40"/>
        <v>1113000000</v>
      </c>
      <c r="N50" s="872">
        <f t="shared" si="40"/>
        <v>0</v>
      </c>
      <c r="O50" s="872">
        <f t="shared" si="40"/>
        <v>0</v>
      </c>
      <c r="P50" s="872">
        <f t="shared" si="40"/>
        <v>733014520</v>
      </c>
      <c r="Q50" s="872">
        <f t="shared" si="40"/>
        <v>0</v>
      </c>
      <c r="R50" s="872">
        <f t="shared" si="40"/>
        <v>0</v>
      </c>
      <c r="S50" s="872">
        <f t="shared" si="40"/>
        <v>1631620166</v>
      </c>
      <c r="T50" s="872">
        <f t="shared" si="40"/>
        <v>573218760</v>
      </c>
      <c r="U50" s="872">
        <f t="shared" si="40"/>
        <v>1058401406</v>
      </c>
      <c r="V50" s="872">
        <f t="shared" si="40"/>
        <v>0</v>
      </c>
      <c r="W50" s="872">
        <f t="shared" si="40"/>
        <v>400758164</v>
      </c>
      <c r="X50" s="872">
        <f t="shared" si="40"/>
        <v>245145050</v>
      </c>
      <c r="Y50" s="872">
        <f t="shared" si="40"/>
        <v>0</v>
      </c>
      <c r="Z50" s="872">
        <f t="shared" si="40"/>
        <v>155613114</v>
      </c>
      <c r="AA50" s="872">
        <f t="shared" si="40"/>
        <v>0</v>
      </c>
    </row>
    <row r="51" spans="1:28" s="877" customFormat="1" ht="14.25" customHeight="1">
      <c r="A51" s="870" t="s">
        <v>115</v>
      </c>
      <c r="B51" s="950" t="s">
        <v>609</v>
      </c>
      <c r="C51" s="872">
        <f>+C54+C57</f>
        <v>59173000</v>
      </c>
      <c r="D51" s="872">
        <f>+D54+D57</f>
        <v>9000000</v>
      </c>
      <c r="E51" s="872">
        <f t="shared" ref="E51:AA51" si="41">+E54+E57</f>
        <v>9000000</v>
      </c>
      <c r="F51" s="872">
        <f t="shared" si="41"/>
        <v>0</v>
      </c>
      <c r="G51" s="872">
        <f t="shared" si="41"/>
        <v>0</v>
      </c>
      <c r="H51" s="872">
        <f t="shared" si="41"/>
        <v>0</v>
      </c>
      <c r="I51" s="872">
        <f t="shared" si="41"/>
        <v>0</v>
      </c>
      <c r="J51" s="872">
        <f t="shared" si="41"/>
        <v>0</v>
      </c>
      <c r="K51" s="875">
        <f t="shared" si="12"/>
        <v>50173000</v>
      </c>
      <c r="L51" s="872">
        <f t="shared" si="41"/>
        <v>0</v>
      </c>
      <c r="M51" s="872">
        <f t="shared" si="41"/>
        <v>34000000</v>
      </c>
      <c r="N51" s="872">
        <f t="shared" si="41"/>
        <v>0</v>
      </c>
      <c r="O51" s="872">
        <f t="shared" si="41"/>
        <v>0</v>
      </c>
      <c r="P51" s="872">
        <f t="shared" si="41"/>
        <v>16173000</v>
      </c>
      <c r="Q51" s="872">
        <f t="shared" si="41"/>
        <v>0</v>
      </c>
      <c r="R51" s="872">
        <f t="shared" si="41"/>
        <v>0</v>
      </c>
      <c r="S51" s="872">
        <f t="shared" si="41"/>
        <v>47515500</v>
      </c>
      <c r="T51" s="872">
        <f t="shared" si="41"/>
        <v>20000000</v>
      </c>
      <c r="U51" s="872">
        <f t="shared" si="41"/>
        <v>27515500</v>
      </c>
      <c r="V51" s="872">
        <f t="shared" si="41"/>
        <v>0</v>
      </c>
      <c r="W51" s="872">
        <f t="shared" si="41"/>
        <v>11657500</v>
      </c>
      <c r="X51" s="872">
        <f t="shared" si="41"/>
        <v>9000000</v>
      </c>
      <c r="Y51" s="872">
        <f t="shared" si="41"/>
        <v>0</v>
      </c>
      <c r="Z51" s="872">
        <f t="shared" si="41"/>
        <v>2657500</v>
      </c>
      <c r="AA51" s="872">
        <f t="shared" si="41"/>
        <v>0</v>
      </c>
    </row>
    <row r="52" spans="1:28" s="877" customFormat="1" ht="14.25" customHeight="1">
      <c r="A52" s="870" t="s">
        <v>62</v>
      </c>
      <c r="B52" s="871" t="s">
        <v>685</v>
      </c>
      <c r="C52" s="875">
        <f>+D52+K52</f>
        <v>1445967030</v>
      </c>
      <c r="D52" s="872">
        <f>SUM(D53:D54)</f>
        <v>164629810</v>
      </c>
      <c r="E52" s="872">
        <f t="shared" ref="E52:AA52" si="42">SUM(E53:E54)</f>
        <v>164629810</v>
      </c>
      <c r="F52" s="872">
        <f t="shared" si="42"/>
        <v>0</v>
      </c>
      <c r="G52" s="872">
        <f t="shared" si="42"/>
        <v>0</v>
      </c>
      <c r="H52" s="872">
        <f t="shared" si="42"/>
        <v>0</v>
      </c>
      <c r="I52" s="872">
        <f t="shared" si="42"/>
        <v>0</v>
      </c>
      <c r="J52" s="872">
        <f t="shared" si="42"/>
        <v>0</v>
      </c>
      <c r="K52" s="875">
        <f t="shared" si="12"/>
        <v>1281337220</v>
      </c>
      <c r="L52" s="872">
        <f>SUM(L53:L54)</f>
        <v>0</v>
      </c>
      <c r="M52" s="872">
        <f t="shared" si="42"/>
        <v>716000000</v>
      </c>
      <c r="N52" s="872">
        <f t="shared" si="42"/>
        <v>0</v>
      </c>
      <c r="O52" s="872">
        <f t="shared" si="42"/>
        <v>0</v>
      </c>
      <c r="P52" s="872">
        <f t="shared" si="42"/>
        <v>565337220</v>
      </c>
      <c r="Q52" s="872">
        <f t="shared" si="42"/>
        <v>0</v>
      </c>
      <c r="R52" s="872">
        <f t="shared" si="42"/>
        <v>0</v>
      </c>
      <c r="S52" s="872">
        <f t="shared" si="42"/>
        <v>1271572943</v>
      </c>
      <c r="T52" s="872">
        <f t="shared" si="42"/>
        <v>471985160</v>
      </c>
      <c r="U52" s="872">
        <f t="shared" si="42"/>
        <v>799587783</v>
      </c>
      <c r="V52" s="872">
        <f t="shared" si="42"/>
        <v>0</v>
      </c>
      <c r="W52" s="872">
        <f t="shared" si="42"/>
        <v>174394087</v>
      </c>
      <c r="X52" s="872">
        <f>SUM(X53:X54)</f>
        <v>128644650</v>
      </c>
      <c r="Y52" s="872">
        <f t="shared" si="42"/>
        <v>0</v>
      </c>
      <c r="Z52" s="872">
        <f t="shared" si="42"/>
        <v>45749437</v>
      </c>
      <c r="AA52" s="872">
        <f t="shared" si="42"/>
        <v>0</v>
      </c>
    </row>
    <row r="53" spans="1:28" s="877" customFormat="1" ht="14.25" customHeight="1">
      <c r="A53" s="870" t="s">
        <v>115</v>
      </c>
      <c r="B53" s="950" t="s">
        <v>600</v>
      </c>
      <c r="C53" s="875">
        <f>+D53+K53</f>
        <v>1410144030</v>
      </c>
      <c r="D53" s="872">
        <f>SUM(E53:J53)</f>
        <v>164629810</v>
      </c>
      <c r="E53" s="872">
        <v>164629810</v>
      </c>
      <c r="F53" s="872"/>
      <c r="G53" s="872"/>
      <c r="H53" s="872"/>
      <c r="I53" s="872"/>
      <c r="J53" s="872"/>
      <c r="K53" s="875">
        <f t="shared" si="12"/>
        <v>1245514220</v>
      </c>
      <c r="L53" s="873"/>
      <c r="M53" s="873">
        <v>695000000</v>
      </c>
      <c r="N53" s="873"/>
      <c r="O53" s="873"/>
      <c r="P53" s="873">
        <v>550514220</v>
      </c>
      <c r="Q53" s="873"/>
      <c r="R53" s="952"/>
      <c r="S53" s="875">
        <f>SUM(T53:U53)</f>
        <v>1236749943</v>
      </c>
      <c r="T53" s="953">
        <v>458985160</v>
      </c>
      <c r="U53" s="953">
        <f>1236749943-T53</f>
        <v>777764783</v>
      </c>
      <c r="V53" s="869"/>
      <c r="W53" s="875">
        <f>+C53-S53-V53</f>
        <v>173394087</v>
      </c>
      <c r="X53" s="869">
        <f>+W53-Z53</f>
        <v>128644650</v>
      </c>
      <c r="Y53" s="869"/>
      <c r="Z53" s="868">
        <v>44749437</v>
      </c>
      <c r="AA53" s="954"/>
    </row>
    <row r="54" spans="1:28" s="877" customFormat="1" ht="14.25" customHeight="1">
      <c r="A54" s="870" t="s">
        <v>115</v>
      </c>
      <c r="B54" s="950" t="s">
        <v>609</v>
      </c>
      <c r="C54" s="875">
        <f>+D54+K54</f>
        <v>35823000</v>
      </c>
      <c r="D54" s="872"/>
      <c r="E54" s="872"/>
      <c r="F54" s="872">
        <v>0</v>
      </c>
      <c r="G54" s="872"/>
      <c r="H54" s="872"/>
      <c r="I54" s="872"/>
      <c r="J54" s="872"/>
      <c r="K54" s="875">
        <f t="shared" si="12"/>
        <v>35823000</v>
      </c>
      <c r="L54" s="873"/>
      <c r="M54" s="873">
        <v>21000000</v>
      </c>
      <c r="N54" s="873"/>
      <c r="O54" s="873"/>
      <c r="P54" s="873">
        <v>14823000</v>
      </c>
      <c r="Q54" s="873"/>
      <c r="R54" s="952"/>
      <c r="S54" s="875">
        <f>SUM(T54:U54)</f>
        <v>34823000</v>
      </c>
      <c r="T54" s="953">
        <v>13000000</v>
      </c>
      <c r="U54" s="869">
        <f>34823000-T54</f>
        <v>21823000</v>
      </c>
      <c r="V54" s="869"/>
      <c r="W54" s="875">
        <f>+C54-S54-V54</f>
        <v>1000000</v>
      </c>
      <c r="X54" s="869"/>
      <c r="Y54" s="869"/>
      <c r="Z54" s="868">
        <v>1000000</v>
      </c>
      <c r="AA54" s="954"/>
    </row>
    <row r="55" spans="1:28" s="877" customFormat="1" ht="14.25" customHeight="1">
      <c r="A55" s="870" t="s">
        <v>62</v>
      </c>
      <c r="B55" s="871" t="s">
        <v>686</v>
      </c>
      <c r="C55" s="872">
        <f>SUM(C56:C57)</f>
        <v>645584300</v>
      </c>
      <c r="D55" s="872">
        <f>SUM(D56:D57)</f>
        <v>30734000</v>
      </c>
      <c r="E55" s="872">
        <f t="shared" ref="E55:AA55" si="43">SUM(E56:E57)</f>
        <v>30734000</v>
      </c>
      <c r="F55" s="872">
        <f t="shared" si="43"/>
        <v>0</v>
      </c>
      <c r="G55" s="872">
        <f t="shared" si="43"/>
        <v>0</v>
      </c>
      <c r="H55" s="872">
        <f t="shared" si="43"/>
        <v>0</v>
      </c>
      <c r="I55" s="872">
        <f t="shared" si="43"/>
        <v>0</v>
      </c>
      <c r="J55" s="872">
        <f t="shared" si="43"/>
        <v>0</v>
      </c>
      <c r="K55" s="875">
        <f t="shared" si="12"/>
        <v>614850300</v>
      </c>
      <c r="L55" s="872">
        <f t="shared" si="43"/>
        <v>0</v>
      </c>
      <c r="M55" s="872">
        <f t="shared" si="43"/>
        <v>431000000</v>
      </c>
      <c r="N55" s="872">
        <f t="shared" si="43"/>
        <v>0</v>
      </c>
      <c r="O55" s="872">
        <f t="shared" si="43"/>
        <v>0</v>
      </c>
      <c r="P55" s="872">
        <f t="shared" si="43"/>
        <v>183850300</v>
      </c>
      <c r="Q55" s="872">
        <f t="shared" si="43"/>
        <v>0</v>
      </c>
      <c r="R55" s="872">
        <f t="shared" si="43"/>
        <v>0</v>
      </c>
      <c r="S55" s="872">
        <f t="shared" si="43"/>
        <v>407562723</v>
      </c>
      <c r="T55" s="872">
        <f t="shared" si="43"/>
        <v>121233600</v>
      </c>
      <c r="U55" s="872">
        <f t="shared" si="43"/>
        <v>286329123</v>
      </c>
      <c r="V55" s="872">
        <f t="shared" si="43"/>
        <v>0</v>
      </c>
      <c r="W55" s="872">
        <f t="shared" si="43"/>
        <v>238021577</v>
      </c>
      <c r="X55" s="872">
        <f t="shared" si="43"/>
        <v>125500400</v>
      </c>
      <c r="Y55" s="872">
        <f t="shared" si="43"/>
        <v>0</v>
      </c>
      <c r="Z55" s="872">
        <f t="shared" si="43"/>
        <v>112521177</v>
      </c>
      <c r="AA55" s="872">
        <f t="shared" si="43"/>
        <v>0</v>
      </c>
    </row>
    <row r="56" spans="1:28" s="877" customFormat="1" ht="14.25" customHeight="1">
      <c r="A56" s="870" t="s">
        <v>115</v>
      </c>
      <c r="B56" s="950" t="s">
        <v>600</v>
      </c>
      <c r="C56" s="875">
        <f>+D56+K56</f>
        <v>622234300</v>
      </c>
      <c r="D56" s="872">
        <f>SUM(E56:J56)</f>
        <v>21734000</v>
      </c>
      <c r="E56" s="872">
        <v>21734000</v>
      </c>
      <c r="F56" s="872"/>
      <c r="G56" s="872"/>
      <c r="H56" s="872"/>
      <c r="I56" s="872"/>
      <c r="J56" s="872"/>
      <c r="K56" s="875">
        <f t="shared" si="12"/>
        <v>600500300</v>
      </c>
      <c r="L56" s="873"/>
      <c r="M56" s="873">
        <v>418000000</v>
      </c>
      <c r="N56" s="873"/>
      <c r="O56" s="873"/>
      <c r="P56" s="873">
        <v>182500300</v>
      </c>
      <c r="Q56" s="873"/>
      <c r="R56" s="952"/>
      <c r="S56" s="875">
        <f>SUM(T56:U56)</f>
        <v>394870223</v>
      </c>
      <c r="T56" s="953">
        <v>114233600</v>
      </c>
      <c r="U56" s="953">
        <f>394870223-T56</f>
        <v>280636623</v>
      </c>
      <c r="V56" s="869"/>
      <c r="W56" s="875">
        <f>+C56-S56-V56</f>
        <v>227364077</v>
      </c>
      <c r="X56" s="869">
        <v>116500400</v>
      </c>
      <c r="Y56" s="869"/>
      <c r="Z56" s="868">
        <v>110863677</v>
      </c>
      <c r="AA56" s="954"/>
    </row>
    <row r="57" spans="1:28" s="877" customFormat="1" ht="14.25" customHeight="1">
      <c r="A57" s="870" t="s">
        <v>115</v>
      </c>
      <c r="B57" s="950" t="s">
        <v>609</v>
      </c>
      <c r="C57" s="875">
        <f>+D57+K57</f>
        <v>23350000</v>
      </c>
      <c r="D57" s="872">
        <f>SUM(E57:J57)</f>
        <v>9000000</v>
      </c>
      <c r="E57" s="872">
        <v>9000000</v>
      </c>
      <c r="F57" s="872"/>
      <c r="G57" s="872"/>
      <c r="H57" s="872"/>
      <c r="I57" s="872"/>
      <c r="J57" s="872"/>
      <c r="K57" s="875">
        <f t="shared" si="12"/>
        <v>14350000</v>
      </c>
      <c r="L57" s="873"/>
      <c r="M57" s="873">
        <v>13000000</v>
      </c>
      <c r="N57" s="873"/>
      <c r="O57" s="873"/>
      <c r="P57" s="873">
        <v>1350000</v>
      </c>
      <c r="Q57" s="873"/>
      <c r="R57" s="952"/>
      <c r="S57" s="875">
        <f>SUM(T57:U57)</f>
        <v>12692500</v>
      </c>
      <c r="T57" s="953">
        <v>7000000</v>
      </c>
      <c r="U57" s="869">
        <f>12692500-T57</f>
        <v>5692500</v>
      </c>
      <c r="V57" s="869"/>
      <c r="W57" s="875">
        <f>+C57-S57-V57</f>
        <v>10657500</v>
      </c>
      <c r="X57" s="869">
        <v>9000000</v>
      </c>
      <c r="Y57" s="869"/>
      <c r="Z57" s="868">
        <v>1657500</v>
      </c>
      <c r="AA57" s="954"/>
    </row>
    <row r="58" spans="1:28" s="941" customFormat="1" ht="14.25" customHeight="1">
      <c r="A58" s="946" t="s">
        <v>149</v>
      </c>
      <c r="B58" s="947" t="s">
        <v>645</v>
      </c>
      <c r="C58" s="939">
        <f>+C59+C64</f>
        <v>13428742521</v>
      </c>
      <c r="D58" s="948">
        <f>+D59+D64</f>
        <v>2354742521</v>
      </c>
      <c r="E58" s="948">
        <v>519185000</v>
      </c>
      <c r="F58" s="948">
        <v>648800000</v>
      </c>
      <c r="G58" s="948"/>
      <c r="H58" s="948"/>
      <c r="I58" s="948">
        <v>20986800</v>
      </c>
      <c r="J58" s="939">
        <v>1165770721</v>
      </c>
      <c r="K58" s="875">
        <f t="shared" si="12"/>
        <v>11074000000</v>
      </c>
      <c r="L58" s="939">
        <f>+L59+L64</f>
        <v>0</v>
      </c>
      <c r="M58" s="939">
        <f>+M59+M64</f>
        <v>7054000000</v>
      </c>
      <c r="N58" s="948">
        <f>+N59+N64</f>
        <v>380000000</v>
      </c>
      <c r="O58" s="948">
        <f t="shared" ref="O58:R58" si="44">+O59+O64</f>
        <v>0</v>
      </c>
      <c r="P58" s="948">
        <f>+P59+P64</f>
        <v>4420000000</v>
      </c>
      <c r="Q58" s="948">
        <f>+Q59+Q64</f>
        <v>780000000</v>
      </c>
      <c r="R58" s="948">
        <f t="shared" si="44"/>
        <v>0</v>
      </c>
      <c r="S58" s="939">
        <f>SUM(T58:U58)</f>
        <v>8865845150</v>
      </c>
      <c r="T58" s="939">
        <f>+T59+T64</f>
        <v>4984941966</v>
      </c>
      <c r="U58" s="939">
        <f>+U59+U64</f>
        <v>3880903184</v>
      </c>
      <c r="V58" s="939">
        <f t="shared" ref="V58:AA58" si="45">+V59+V64</f>
        <v>0</v>
      </c>
      <c r="W58" s="939">
        <f t="shared" si="45"/>
        <v>4562897371</v>
      </c>
      <c r="X58" s="939">
        <f t="shared" si="45"/>
        <v>1897337034</v>
      </c>
      <c r="Y58" s="939">
        <f t="shared" si="45"/>
        <v>1193663521</v>
      </c>
      <c r="Z58" s="939">
        <f t="shared" si="45"/>
        <v>1420895916</v>
      </c>
      <c r="AA58" s="939">
        <f t="shared" si="45"/>
        <v>51000900</v>
      </c>
      <c r="AB58" s="1136">
        <f>+Y58+AA58</f>
        <v>1244664421</v>
      </c>
    </row>
    <row r="59" spans="1:28" s="941" customFormat="1" ht="12.75" customHeight="1">
      <c r="A59" s="946">
        <v>1</v>
      </c>
      <c r="B59" s="949" t="s">
        <v>61</v>
      </c>
      <c r="C59" s="956">
        <f>+C60+C63</f>
        <v>10824557521</v>
      </c>
      <c r="D59" s="956">
        <f t="shared" ref="D59:U59" si="46">+D60+D63</f>
        <v>1835557521</v>
      </c>
      <c r="E59" s="956">
        <f t="shared" si="46"/>
        <v>0</v>
      </c>
      <c r="F59" s="956">
        <f t="shared" si="46"/>
        <v>648800000</v>
      </c>
      <c r="G59" s="956">
        <f t="shared" si="46"/>
        <v>0</v>
      </c>
      <c r="H59" s="956">
        <f t="shared" si="46"/>
        <v>0</v>
      </c>
      <c r="I59" s="956">
        <f t="shared" si="46"/>
        <v>20986800</v>
      </c>
      <c r="J59" s="956">
        <f t="shared" si="46"/>
        <v>1165770721</v>
      </c>
      <c r="K59" s="875">
        <f t="shared" si="12"/>
        <v>8989000000</v>
      </c>
      <c r="L59" s="956">
        <f t="shared" si="46"/>
        <v>0</v>
      </c>
      <c r="M59" s="956">
        <f t="shared" si="46"/>
        <v>5349000000</v>
      </c>
      <c r="N59" s="956">
        <f t="shared" si="46"/>
        <v>0</v>
      </c>
      <c r="O59" s="956">
        <f t="shared" si="46"/>
        <v>0</v>
      </c>
      <c r="P59" s="956">
        <f t="shared" si="46"/>
        <v>3640000000</v>
      </c>
      <c r="Q59" s="956">
        <f t="shared" si="46"/>
        <v>0</v>
      </c>
      <c r="R59" s="956">
        <f t="shared" si="46"/>
        <v>0</v>
      </c>
      <c r="S59" s="956">
        <f t="shared" si="46"/>
        <v>7273793100</v>
      </c>
      <c r="T59" s="956">
        <f>+T60+T63</f>
        <v>4493094000</v>
      </c>
      <c r="U59" s="956">
        <f t="shared" si="46"/>
        <v>2780699100</v>
      </c>
      <c r="V59" s="956">
        <f t="shared" ref="V59:AA59" si="47">+V60+V63</f>
        <v>0</v>
      </c>
      <c r="W59" s="956">
        <f t="shared" si="47"/>
        <v>3550764421</v>
      </c>
      <c r="X59" s="956">
        <f t="shared" si="47"/>
        <v>1840000000</v>
      </c>
      <c r="Y59" s="956">
        <f t="shared" si="47"/>
        <v>1193663521</v>
      </c>
      <c r="Z59" s="956">
        <f t="shared" si="47"/>
        <v>466099999.99999994</v>
      </c>
      <c r="AA59" s="956">
        <f t="shared" si="47"/>
        <v>51000900</v>
      </c>
    </row>
    <row r="60" spans="1:28" s="960" customFormat="1" ht="15" customHeight="1">
      <c r="A60" s="957" t="s">
        <v>320</v>
      </c>
      <c r="B60" s="958" t="s">
        <v>1027</v>
      </c>
      <c r="C60" s="959">
        <f>+C61+C62</f>
        <v>6303570721</v>
      </c>
      <c r="D60" s="959">
        <f t="shared" ref="D60:V60" si="48">+D61+D62</f>
        <v>1814570721</v>
      </c>
      <c r="E60" s="959">
        <f t="shared" si="48"/>
        <v>0</v>
      </c>
      <c r="F60" s="959">
        <f t="shared" si="48"/>
        <v>648800000</v>
      </c>
      <c r="G60" s="959">
        <f t="shared" si="48"/>
        <v>0</v>
      </c>
      <c r="H60" s="959">
        <f t="shared" si="48"/>
        <v>0</v>
      </c>
      <c r="I60" s="959">
        <f t="shared" si="48"/>
        <v>0</v>
      </c>
      <c r="J60" s="959">
        <f>+J61+J62</f>
        <v>1165770721</v>
      </c>
      <c r="K60" s="875">
        <f t="shared" si="12"/>
        <v>4489000000</v>
      </c>
      <c r="L60" s="959">
        <f t="shared" si="48"/>
        <v>0</v>
      </c>
      <c r="M60" s="959">
        <f t="shared" si="48"/>
        <v>849000000</v>
      </c>
      <c r="N60" s="959">
        <f t="shared" si="48"/>
        <v>0</v>
      </c>
      <c r="O60" s="959">
        <f t="shared" si="48"/>
        <v>0</v>
      </c>
      <c r="P60" s="959">
        <f t="shared" si="48"/>
        <v>3640000000</v>
      </c>
      <c r="Q60" s="959">
        <f t="shared" si="48"/>
        <v>0</v>
      </c>
      <c r="R60" s="959">
        <f t="shared" si="48"/>
        <v>0</v>
      </c>
      <c r="S60" s="959">
        <f t="shared" si="48"/>
        <v>2780699100</v>
      </c>
      <c r="T60" s="959">
        <f t="shared" si="48"/>
        <v>0</v>
      </c>
      <c r="U60" s="959">
        <f t="shared" si="48"/>
        <v>2780699100</v>
      </c>
      <c r="V60" s="959">
        <f t="shared" si="48"/>
        <v>0</v>
      </c>
      <c r="W60" s="959">
        <f>+W61+W62</f>
        <v>3522871621</v>
      </c>
      <c r="X60" s="959">
        <f t="shared" ref="X60:AA60" si="49">+X61+X62</f>
        <v>1840000000</v>
      </c>
      <c r="Y60" s="959">
        <f t="shared" si="49"/>
        <v>1165770721</v>
      </c>
      <c r="Z60" s="959">
        <f t="shared" si="49"/>
        <v>466099999.99999994</v>
      </c>
      <c r="AA60" s="959">
        <f t="shared" si="49"/>
        <v>51000900</v>
      </c>
    </row>
    <row r="61" spans="1:28" s="877" customFormat="1" ht="15" customHeight="1">
      <c r="A61" s="870" t="s">
        <v>115</v>
      </c>
      <c r="B61" s="950" t="s">
        <v>600</v>
      </c>
      <c r="C61" s="875">
        <f>+D61+K61</f>
        <v>6045840721</v>
      </c>
      <c r="D61" s="872">
        <f>SUM(E61:J61)</f>
        <v>1770170721</v>
      </c>
      <c r="E61" s="872"/>
      <c r="F61" s="872">
        <v>632400000</v>
      </c>
      <c r="G61" s="872"/>
      <c r="H61" s="872"/>
      <c r="I61" s="872"/>
      <c r="J61" s="875">
        <v>1137770721</v>
      </c>
      <c r="K61" s="875">
        <f t="shared" si="12"/>
        <v>4275670000</v>
      </c>
      <c r="L61" s="873"/>
      <c r="M61" s="873">
        <v>809000000</v>
      </c>
      <c r="N61" s="873"/>
      <c r="O61" s="873"/>
      <c r="P61" s="875">
        <v>3466670000</v>
      </c>
      <c r="Q61" s="873"/>
      <c r="R61" s="952"/>
      <c r="S61" s="875">
        <f>SUM(T61:U61)</f>
        <v>2695729100</v>
      </c>
      <c r="T61" s="953"/>
      <c r="U61" s="953">
        <v>2695729100</v>
      </c>
      <c r="V61" s="869"/>
      <c r="W61" s="875">
        <f>+C61-S61-V61</f>
        <v>3350111621</v>
      </c>
      <c r="X61" s="869">
        <v>1752380000</v>
      </c>
      <c r="Y61" s="869">
        <v>1137770721</v>
      </c>
      <c r="Z61" s="868">
        <v>408959999.99999994</v>
      </c>
      <c r="AA61" s="875">
        <v>51000900</v>
      </c>
    </row>
    <row r="62" spans="1:28" s="877" customFormat="1" ht="15" customHeight="1">
      <c r="A62" s="870" t="s">
        <v>115</v>
      </c>
      <c r="B62" s="950" t="s">
        <v>609</v>
      </c>
      <c r="C62" s="875">
        <f>+D62+K62</f>
        <v>257730000</v>
      </c>
      <c r="D62" s="872">
        <f>SUM(E62:J62)</f>
        <v>44400000</v>
      </c>
      <c r="E62" s="872"/>
      <c r="F62" s="872">
        <v>16400000</v>
      </c>
      <c r="G62" s="872"/>
      <c r="H62" s="872"/>
      <c r="I62" s="872"/>
      <c r="J62" s="872">
        <v>28000000</v>
      </c>
      <c r="K62" s="875">
        <f t="shared" si="12"/>
        <v>213330000</v>
      </c>
      <c r="L62" s="873"/>
      <c r="M62" s="873">
        <v>40000000</v>
      </c>
      <c r="N62" s="873"/>
      <c r="O62" s="873"/>
      <c r="P62" s="875">
        <v>173330000</v>
      </c>
      <c r="Q62" s="873"/>
      <c r="R62" s="952"/>
      <c r="S62" s="875">
        <f>SUM(T62:U62)</f>
        <v>84970000</v>
      </c>
      <c r="T62" s="953"/>
      <c r="U62" s="953">
        <f>16400000+68570000</f>
        <v>84970000</v>
      </c>
      <c r="V62" s="869"/>
      <c r="W62" s="875">
        <f>+C62-S62-V62</f>
        <v>172760000</v>
      </c>
      <c r="X62" s="869">
        <v>87620000</v>
      </c>
      <c r="Y62" s="869">
        <v>28000000</v>
      </c>
      <c r="Z62" s="868">
        <v>57140000</v>
      </c>
      <c r="AA62" s="875"/>
    </row>
    <row r="63" spans="1:28" s="960" customFormat="1" ht="15.75" customHeight="1">
      <c r="A63" s="957" t="s">
        <v>243</v>
      </c>
      <c r="B63" s="958" t="s">
        <v>1028</v>
      </c>
      <c r="C63" s="959">
        <f t="shared" ref="C63" si="50">+D63+K63</f>
        <v>4520986800</v>
      </c>
      <c r="D63" s="962">
        <f>SUM(E63:J63)</f>
        <v>20986800</v>
      </c>
      <c r="E63" s="962"/>
      <c r="F63" s="962"/>
      <c r="G63" s="962"/>
      <c r="H63" s="962"/>
      <c r="I63" s="962">
        <v>20986800</v>
      </c>
      <c r="J63" s="962"/>
      <c r="K63" s="875">
        <f t="shared" si="12"/>
        <v>4500000000</v>
      </c>
      <c r="L63" s="963"/>
      <c r="M63" s="963">
        <v>4500000000</v>
      </c>
      <c r="N63" s="963"/>
      <c r="O63" s="963"/>
      <c r="P63" s="963"/>
      <c r="Q63" s="963"/>
      <c r="R63" s="964"/>
      <c r="S63" s="959">
        <f t="shared" ref="S63" si="51">SUM(T63:U63)</f>
        <v>4493094000</v>
      </c>
      <c r="T63" s="965">
        <v>4493094000</v>
      </c>
      <c r="U63" s="965"/>
      <c r="V63" s="965"/>
      <c r="W63" s="959">
        <f>+C63-S63-V63</f>
        <v>27892800</v>
      </c>
      <c r="X63" s="966"/>
      <c r="Y63" s="965">
        <f>+W63</f>
        <v>27892800</v>
      </c>
      <c r="Z63" s="967"/>
      <c r="AA63" s="967"/>
    </row>
    <row r="64" spans="1:28" s="941" customFormat="1" ht="13.5" customHeight="1">
      <c r="A64" s="968">
        <v>2</v>
      </c>
      <c r="B64" s="968" t="s">
        <v>116</v>
      </c>
      <c r="C64" s="939">
        <f>+C65</f>
        <v>2604185000</v>
      </c>
      <c r="D64" s="939">
        <f t="shared" ref="D64:J64" si="52">+D65</f>
        <v>519185000</v>
      </c>
      <c r="E64" s="939">
        <f t="shared" si="52"/>
        <v>519185000</v>
      </c>
      <c r="F64" s="939">
        <f t="shared" si="52"/>
        <v>0</v>
      </c>
      <c r="G64" s="939">
        <f t="shared" si="52"/>
        <v>0</v>
      </c>
      <c r="H64" s="939">
        <f t="shared" si="52"/>
        <v>0</v>
      </c>
      <c r="I64" s="939">
        <f t="shared" si="52"/>
        <v>0</v>
      </c>
      <c r="J64" s="939">
        <f t="shared" si="52"/>
        <v>0</v>
      </c>
      <c r="K64" s="875">
        <f t="shared" si="12"/>
        <v>2085000000</v>
      </c>
      <c r="L64" s="939">
        <f t="shared" ref="L64:AA64" si="53">+L65</f>
        <v>0</v>
      </c>
      <c r="M64" s="939">
        <f t="shared" si="53"/>
        <v>1705000000</v>
      </c>
      <c r="N64" s="939">
        <f>+N65</f>
        <v>380000000</v>
      </c>
      <c r="O64" s="939">
        <f t="shared" ref="O64:R64" si="54">+O65</f>
        <v>0</v>
      </c>
      <c r="P64" s="939">
        <f t="shared" si="54"/>
        <v>780000000</v>
      </c>
      <c r="Q64" s="939">
        <f t="shared" si="54"/>
        <v>780000000</v>
      </c>
      <c r="R64" s="939">
        <f t="shared" si="54"/>
        <v>0</v>
      </c>
      <c r="S64" s="939">
        <f t="shared" si="53"/>
        <v>1592052050</v>
      </c>
      <c r="T64" s="939">
        <f t="shared" si="53"/>
        <v>491847966</v>
      </c>
      <c r="U64" s="939">
        <f t="shared" si="53"/>
        <v>1100204084</v>
      </c>
      <c r="V64" s="939">
        <f t="shared" si="53"/>
        <v>0</v>
      </c>
      <c r="W64" s="939">
        <f t="shared" si="53"/>
        <v>1012132950</v>
      </c>
      <c r="X64" s="939">
        <f t="shared" si="53"/>
        <v>57337034</v>
      </c>
      <c r="Y64" s="939">
        <f t="shared" si="53"/>
        <v>0</v>
      </c>
      <c r="Z64" s="939">
        <f t="shared" si="53"/>
        <v>954795916</v>
      </c>
      <c r="AA64" s="939">
        <f t="shared" si="53"/>
        <v>0</v>
      </c>
    </row>
    <row r="65" spans="1:28" s="960" customFormat="1" ht="13.5" customHeight="1">
      <c r="A65" s="946" t="s">
        <v>244</v>
      </c>
      <c r="B65" s="969" t="s">
        <v>637</v>
      </c>
      <c r="C65" s="959">
        <f>SUM(C66:C67)</f>
        <v>2604185000</v>
      </c>
      <c r="D65" s="959">
        <f t="shared" ref="D65:J65" si="55">SUM(D66:D67)</f>
        <v>519185000</v>
      </c>
      <c r="E65" s="959">
        <f t="shared" si="55"/>
        <v>519185000</v>
      </c>
      <c r="F65" s="959">
        <f t="shared" si="55"/>
        <v>0</v>
      </c>
      <c r="G65" s="959">
        <f t="shared" si="55"/>
        <v>0</v>
      </c>
      <c r="H65" s="959">
        <f t="shared" si="55"/>
        <v>0</v>
      </c>
      <c r="I65" s="959">
        <f t="shared" si="55"/>
        <v>0</v>
      </c>
      <c r="J65" s="959">
        <f t="shared" si="55"/>
        <v>0</v>
      </c>
      <c r="K65" s="875">
        <f t="shared" si="12"/>
        <v>2085000000</v>
      </c>
      <c r="L65" s="959">
        <f t="shared" ref="L65:AA65" si="56">SUM(L66:L67)</f>
        <v>0</v>
      </c>
      <c r="M65" s="959">
        <f>SUM(M66:M67)</f>
        <v>1705000000</v>
      </c>
      <c r="N65" s="959">
        <f t="shared" si="56"/>
        <v>380000000</v>
      </c>
      <c r="O65" s="959">
        <f t="shared" ref="O65:R65" si="57">SUM(O66:O67)</f>
        <v>0</v>
      </c>
      <c r="P65" s="959">
        <f t="shared" si="57"/>
        <v>780000000</v>
      </c>
      <c r="Q65" s="959">
        <f t="shared" si="57"/>
        <v>780000000</v>
      </c>
      <c r="R65" s="959">
        <f t="shared" si="57"/>
        <v>0</v>
      </c>
      <c r="S65" s="959">
        <f t="shared" si="56"/>
        <v>1592052050</v>
      </c>
      <c r="T65" s="959">
        <f t="shared" si="56"/>
        <v>491847966</v>
      </c>
      <c r="U65" s="959">
        <f t="shared" si="56"/>
        <v>1100204084</v>
      </c>
      <c r="V65" s="959">
        <f t="shared" si="56"/>
        <v>0</v>
      </c>
      <c r="W65" s="959">
        <f t="shared" si="56"/>
        <v>1012132950</v>
      </c>
      <c r="X65" s="959">
        <f t="shared" si="56"/>
        <v>57337034</v>
      </c>
      <c r="Y65" s="959">
        <f t="shared" si="56"/>
        <v>0</v>
      </c>
      <c r="Z65" s="959">
        <f t="shared" si="56"/>
        <v>954795916</v>
      </c>
      <c r="AA65" s="959">
        <f t="shared" si="56"/>
        <v>0</v>
      </c>
      <c r="AB65" s="960">
        <f>+S64/C64*100</f>
        <v>61.134368334046925</v>
      </c>
    </row>
    <row r="66" spans="1:28" s="960" customFormat="1" ht="13.5" customHeight="1">
      <c r="A66" s="946"/>
      <c r="B66" s="950" t="s">
        <v>600</v>
      </c>
      <c r="C66" s="875">
        <f>+C69+C72+C75+C78+C81+C84</f>
        <v>2484185000</v>
      </c>
      <c r="D66" s="875">
        <f t="shared" ref="D66:U66" si="58">+D69+D72+D75+D78+D81+D84</f>
        <v>493185000</v>
      </c>
      <c r="E66" s="875">
        <f t="shared" si="58"/>
        <v>493185000</v>
      </c>
      <c r="F66" s="875">
        <f t="shared" si="58"/>
        <v>0</v>
      </c>
      <c r="G66" s="875"/>
      <c r="H66" s="875"/>
      <c r="I66" s="875">
        <f t="shared" si="58"/>
        <v>0</v>
      </c>
      <c r="J66" s="875">
        <f t="shared" si="58"/>
        <v>0</v>
      </c>
      <c r="K66" s="875">
        <f t="shared" si="12"/>
        <v>1991000000</v>
      </c>
      <c r="L66" s="875">
        <f t="shared" si="58"/>
        <v>0</v>
      </c>
      <c r="M66" s="875">
        <f>+M69+M72+M75+M78+M81+M84</f>
        <v>1625000000</v>
      </c>
      <c r="N66" s="875">
        <f t="shared" ref="N66:R66" si="59">+N69+N72+N75+N78+N81+N84</f>
        <v>366000000</v>
      </c>
      <c r="O66" s="875">
        <f t="shared" si="59"/>
        <v>0</v>
      </c>
      <c r="P66" s="875">
        <f t="shared" si="59"/>
        <v>743000000</v>
      </c>
      <c r="Q66" s="875">
        <f t="shared" si="59"/>
        <v>743000000</v>
      </c>
      <c r="R66" s="875">
        <f t="shared" si="59"/>
        <v>0</v>
      </c>
      <c r="S66" s="875">
        <f t="shared" si="58"/>
        <v>1515554050</v>
      </c>
      <c r="T66" s="875">
        <f t="shared" si="58"/>
        <v>479349966</v>
      </c>
      <c r="U66" s="875">
        <f t="shared" si="58"/>
        <v>1036204084</v>
      </c>
      <c r="V66" s="875">
        <f t="shared" ref="V66:AA66" si="60">+V69+V72+V75+V78+V81+V84</f>
        <v>0</v>
      </c>
      <c r="W66" s="875">
        <f t="shared" si="60"/>
        <v>968630950</v>
      </c>
      <c r="X66" s="875">
        <f t="shared" si="60"/>
        <v>45335034</v>
      </c>
      <c r="Y66" s="875">
        <f t="shared" si="60"/>
        <v>0</v>
      </c>
      <c r="Z66" s="875">
        <f t="shared" si="60"/>
        <v>923295916</v>
      </c>
      <c r="AA66" s="875">
        <f t="shared" si="60"/>
        <v>0</v>
      </c>
    </row>
    <row r="67" spans="1:28" s="960" customFormat="1" ht="13.5" customHeight="1">
      <c r="A67" s="946"/>
      <c r="B67" s="950" t="s">
        <v>609</v>
      </c>
      <c r="C67" s="875">
        <f>+C70+C73+C76+C79+C82+C85</f>
        <v>120000000</v>
      </c>
      <c r="D67" s="875">
        <f t="shared" ref="D67:U67" si="61">+D70+D73+D76+D79+D82+D85</f>
        <v>26000000</v>
      </c>
      <c r="E67" s="875">
        <f t="shared" si="61"/>
        <v>26000000</v>
      </c>
      <c r="F67" s="875">
        <f t="shared" si="61"/>
        <v>0</v>
      </c>
      <c r="G67" s="875"/>
      <c r="H67" s="875"/>
      <c r="I67" s="875">
        <f t="shared" si="61"/>
        <v>0</v>
      </c>
      <c r="J67" s="875">
        <f t="shared" si="61"/>
        <v>0</v>
      </c>
      <c r="K67" s="875">
        <f t="shared" si="12"/>
        <v>94000000</v>
      </c>
      <c r="L67" s="875">
        <f t="shared" si="61"/>
        <v>0</v>
      </c>
      <c r="M67" s="875">
        <f t="shared" si="61"/>
        <v>80000000</v>
      </c>
      <c r="N67" s="875">
        <f t="shared" ref="N67:R67" si="62">+N70+N73+N76+N79+N82+N85</f>
        <v>14000000</v>
      </c>
      <c r="O67" s="875">
        <f t="shared" si="62"/>
        <v>0</v>
      </c>
      <c r="P67" s="875">
        <f t="shared" si="62"/>
        <v>37000000</v>
      </c>
      <c r="Q67" s="875">
        <f t="shared" si="62"/>
        <v>37000000</v>
      </c>
      <c r="R67" s="875">
        <f t="shared" si="62"/>
        <v>0</v>
      </c>
      <c r="S67" s="875">
        <f t="shared" si="61"/>
        <v>76498000</v>
      </c>
      <c r="T67" s="875">
        <f t="shared" si="61"/>
        <v>12498000</v>
      </c>
      <c r="U67" s="875">
        <f t="shared" si="61"/>
        <v>64000000</v>
      </c>
      <c r="V67" s="875">
        <f t="shared" ref="V67:AA67" si="63">+V70+V73+V76+V79+V82+V85</f>
        <v>0</v>
      </c>
      <c r="W67" s="875">
        <f t="shared" si="63"/>
        <v>43502000</v>
      </c>
      <c r="X67" s="875">
        <f t="shared" si="63"/>
        <v>12002000</v>
      </c>
      <c r="Y67" s="875">
        <f t="shared" si="63"/>
        <v>0</v>
      </c>
      <c r="Z67" s="875">
        <f t="shared" si="63"/>
        <v>31500000</v>
      </c>
      <c r="AA67" s="875">
        <f t="shared" si="63"/>
        <v>0</v>
      </c>
    </row>
    <row r="68" spans="1:28" s="877" customFormat="1" ht="25.5" customHeight="1">
      <c r="A68" s="870" t="s">
        <v>62</v>
      </c>
      <c r="B68" s="970" t="s">
        <v>687</v>
      </c>
      <c r="C68" s="875">
        <f>SUM(C69:C70)</f>
        <v>0</v>
      </c>
      <c r="D68" s="872">
        <f t="shared" ref="D68:D73" si="64">SUM(E68:J68)</f>
        <v>0</v>
      </c>
      <c r="E68" s="872">
        <v>0</v>
      </c>
      <c r="F68" s="872">
        <v>0</v>
      </c>
      <c r="G68" s="872"/>
      <c r="H68" s="872"/>
      <c r="I68" s="872">
        <v>0</v>
      </c>
      <c r="J68" s="872">
        <v>0</v>
      </c>
      <c r="K68" s="875">
        <f t="shared" si="12"/>
        <v>0</v>
      </c>
      <c r="L68" s="872">
        <f t="shared" ref="L68:Z68" si="65">SUM(L69:L70)</f>
        <v>0</v>
      </c>
      <c r="M68" s="872">
        <f t="shared" si="65"/>
        <v>0</v>
      </c>
      <c r="N68" s="872">
        <f t="shared" si="65"/>
        <v>0</v>
      </c>
      <c r="O68" s="872">
        <f t="shared" si="65"/>
        <v>0</v>
      </c>
      <c r="P68" s="872"/>
      <c r="Q68" s="872"/>
      <c r="R68" s="872">
        <f t="shared" si="65"/>
        <v>0</v>
      </c>
      <c r="S68" s="875">
        <f>SUM(S69:S70)</f>
        <v>0</v>
      </c>
      <c r="T68" s="875">
        <f t="shared" si="65"/>
        <v>0</v>
      </c>
      <c r="U68" s="875">
        <f t="shared" si="65"/>
        <v>0</v>
      </c>
      <c r="V68" s="875">
        <f t="shared" si="65"/>
        <v>0</v>
      </c>
      <c r="W68" s="875">
        <f t="shared" si="65"/>
        <v>0</v>
      </c>
      <c r="X68" s="875">
        <v>0</v>
      </c>
      <c r="Y68" s="875">
        <f t="shared" si="65"/>
        <v>0</v>
      </c>
      <c r="Z68" s="875">
        <f t="shared" si="65"/>
        <v>0</v>
      </c>
      <c r="AA68" s="875">
        <v>0</v>
      </c>
    </row>
    <row r="69" spans="1:28" s="877" customFormat="1" ht="13.5" customHeight="1">
      <c r="A69" s="870" t="s">
        <v>115</v>
      </c>
      <c r="B69" s="950" t="s">
        <v>600</v>
      </c>
      <c r="C69" s="875">
        <f>+D69+K69</f>
        <v>0</v>
      </c>
      <c r="D69" s="872">
        <f t="shared" si="64"/>
        <v>0</v>
      </c>
      <c r="E69" s="872">
        <v>0</v>
      </c>
      <c r="F69" s="872"/>
      <c r="G69" s="872"/>
      <c r="H69" s="872"/>
      <c r="I69" s="872"/>
      <c r="J69" s="872"/>
      <c r="K69" s="875">
        <f t="shared" si="12"/>
        <v>0</v>
      </c>
      <c r="L69" s="873"/>
      <c r="M69" s="873"/>
      <c r="N69" s="873"/>
      <c r="O69" s="873"/>
      <c r="P69" s="873"/>
      <c r="Q69" s="873"/>
      <c r="R69" s="952"/>
      <c r="S69" s="875">
        <f t="shared" ref="S69:S76" si="66">SUM(T69:U69)</f>
        <v>0</v>
      </c>
      <c r="T69" s="953"/>
      <c r="U69" s="953">
        <f>+M69</f>
        <v>0</v>
      </c>
      <c r="V69" s="869"/>
      <c r="W69" s="875">
        <f>+C69-S69-V69</f>
        <v>0</v>
      </c>
      <c r="X69" s="869">
        <v>0</v>
      </c>
      <c r="Y69" s="869"/>
      <c r="Z69" s="868"/>
      <c r="AA69" s="954"/>
    </row>
    <row r="70" spans="1:28" s="877" customFormat="1" ht="13.5" customHeight="1">
      <c r="A70" s="870" t="s">
        <v>115</v>
      </c>
      <c r="B70" s="950" t="s">
        <v>609</v>
      </c>
      <c r="C70" s="875">
        <f>+D70+K70</f>
        <v>0</v>
      </c>
      <c r="D70" s="872">
        <f t="shared" si="64"/>
        <v>0</v>
      </c>
      <c r="E70" s="872"/>
      <c r="F70" s="872">
        <v>0</v>
      </c>
      <c r="G70" s="872"/>
      <c r="H70" s="872"/>
      <c r="I70" s="872"/>
      <c r="J70" s="872"/>
      <c r="K70" s="875">
        <f t="shared" si="12"/>
        <v>0</v>
      </c>
      <c r="L70" s="873"/>
      <c r="M70" s="873"/>
      <c r="N70" s="873"/>
      <c r="O70" s="873"/>
      <c r="P70" s="873"/>
      <c r="Q70" s="873"/>
      <c r="R70" s="872"/>
      <c r="S70" s="875">
        <f t="shared" si="66"/>
        <v>0</v>
      </c>
      <c r="T70" s="953"/>
      <c r="U70" s="875"/>
      <c r="V70" s="869"/>
      <c r="W70" s="875">
        <f>+C70-S70-V70</f>
        <v>0</v>
      </c>
      <c r="X70" s="869"/>
      <c r="Y70" s="869"/>
      <c r="Z70" s="868">
        <f>+C70-S70</f>
        <v>0</v>
      </c>
      <c r="AA70" s="954"/>
    </row>
    <row r="71" spans="1:28" s="877" customFormat="1" ht="24" customHeight="1">
      <c r="A71" s="870" t="s">
        <v>62</v>
      </c>
      <c r="B71" s="970" t="s">
        <v>605</v>
      </c>
      <c r="C71" s="872">
        <f>+C72+C73</f>
        <v>469185000</v>
      </c>
      <c r="D71" s="872">
        <f>+D72+D73</f>
        <v>219185000</v>
      </c>
      <c r="E71" s="872">
        <f t="shared" ref="E71:J71" si="67">+E72+E73</f>
        <v>519185000</v>
      </c>
      <c r="F71" s="872">
        <f t="shared" si="67"/>
        <v>0</v>
      </c>
      <c r="G71" s="872">
        <f t="shared" si="67"/>
        <v>-300000000</v>
      </c>
      <c r="H71" s="872">
        <f t="shared" si="67"/>
        <v>0</v>
      </c>
      <c r="I71" s="872">
        <f t="shared" si="67"/>
        <v>0</v>
      </c>
      <c r="J71" s="872">
        <f t="shared" si="67"/>
        <v>0</v>
      </c>
      <c r="K71" s="875">
        <f t="shared" si="12"/>
        <v>250000000</v>
      </c>
      <c r="L71" s="872">
        <f>SUM(L72:L73)</f>
        <v>0</v>
      </c>
      <c r="M71" s="872">
        <f t="shared" ref="M71:R71" si="68">SUM(M72:M73)</f>
        <v>250000000</v>
      </c>
      <c r="N71" s="872">
        <f t="shared" si="68"/>
        <v>0</v>
      </c>
      <c r="O71" s="872">
        <f t="shared" si="68"/>
        <v>0</v>
      </c>
      <c r="P71" s="872"/>
      <c r="Q71" s="872"/>
      <c r="R71" s="872">
        <f t="shared" si="68"/>
        <v>0</v>
      </c>
      <c r="S71" s="875">
        <f t="shared" si="66"/>
        <v>411935440</v>
      </c>
      <c r="T71" s="875">
        <f t="shared" ref="T71:AA71" si="69">SUM(T72:T73)</f>
        <v>411935440</v>
      </c>
      <c r="U71" s="875">
        <f t="shared" si="69"/>
        <v>0</v>
      </c>
      <c r="V71" s="875">
        <f t="shared" si="69"/>
        <v>0</v>
      </c>
      <c r="W71" s="875">
        <f t="shared" si="69"/>
        <v>57249560</v>
      </c>
      <c r="X71" s="875">
        <f t="shared" si="69"/>
        <v>57249560</v>
      </c>
      <c r="Y71" s="875">
        <f t="shared" si="69"/>
        <v>0</v>
      </c>
      <c r="Z71" s="875">
        <f t="shared" si="69"/>
        <v>0</v>
      </c>
      <c r="AA71" s="875">
        <f t="shared" si="69"/>
        <v>0</v>
      </c>
    </row>
    <row r="72" spans="1:28" s="877" customFormat="1" ht="12.75" customHeight="1">
      <c r="A72" s="870" t="s">
        <v>115</v>
      </c>
      <c r="B72" s="950" t="s">
        <v>600</v>
      </c>
      <c r="C72" s="875">
        <f>+D72+K72</f>
        <v>446185000</v>
      </c>
      <c r="D72" s="872">
        <f t="shared" si="64"/>
        <v>208185000</v>
      </c>
      <c r="E72" s="872">
        <f>493185000</f>
        <v>493185000</v>
      </c>
      <c r="F72" s="872"/>
      <c r="G72" s="872">
        <v>-285000000</v>
      </c>
      <c r="H72" s="872"/>
      <c r="I72" s="872"/>
      <c r="J72" s="872"/>
      <c r="K72" s="875">
        <f t="shared" si="12"/>
        <v>238000000</v>
      </c>
      <c r="L72" s="873"/>
      <c r="M72" s="873">
        <v>238000000</v>
      </c>
      <c r="N72" s="873"/>
      <c r="O72" s="873"/>
      <c r="P72" s="873"/>
      <c r="Q72" s="873"/>
      <c r="R72" s="952"/>
      <c r="S72" s="875">
        <f t="shared" si="66"/>
        <v>400935440</v>
      </c>
      <c r="T72" s="953">
        <f>208185000+192750440</f>
        <v>400935440</v>
      </c>
      <c r="U72" s="953"/>
      <c r="V72" s="869"/>
      <c r="W72" s="875">
        <f>+C72-S72-V72</f>
        <v>45249560</v>
      </c>
      <c r="X72" s="869">
        <f>+W72</f>
        <v>45249560</v>
      </c>
      <c r="Y72" s="869"/>
      <c r="Z72" s="868"/>
      <c r="AA72" s="954"/>
    </row>
    <row r="73" spans="1:28" s="877" customFormat="1" ht="12.75" customHeight="1">
      <c r="A73" s="870" t="s">
        <v>115</v>
      </c>
      <c r="B73" s="950" t="s">
        <v>609</v>
      </c>
      <c r="C73" s="875">
        <f>+D73+K73</f>
        <v>23000000</v>
      </c>
      <c r="D73" s="872">
        <f t="shared" si="64"/>
        <v>11000000</v>
      </c>
      <c r="E73" s="872">
        <f>26000000</f>
        <v>26000000</v>
      </c>
      <c r="F73" s="872"/>
      <c r="G73" s="872">
        <v>-15000000</v>
      </c>
      <c r="H73" s="872"/>
      <c r="I73" s="872"/>
      <c r="J73" s="872"/>
      <c r="K73" s="875">
        <f t="shared" si="12"/>
        <v>12000000</v>
      </c>
      <c r="L73" s="873"/>
      <c r="M73" s="873">
        <v>12000000</v>
      </c>
      <c r="N73" s="873"/>
      <c r="O73" s="873"/>
      <c r="P73" s="873"/>
      <c r="Q73" s="873"/>
      <c r="R73" s="954"/>
      <c r="S73" s="875">
        <f t="shared" si="66"/>
        <v>11000000</v>
      </c>
      <c r="T73" s="953">
        <v>11000000</v>
      </c>
      <c r="U73" s="869"/>
      <c r="V73" s="869"/>
      <c r="W73" s="875">
        <f>+C73-S73-V73</f>
        <v>12000000</v>
      </c>
      <c r="X73" s="869">
        <f>+W73</f>
        <v>12000000</v>
      </c>
      <c r="Y73" s="869"/>
      <c r="Z73" s="868"/>
      <c r="AA73" s="954"/>
    </row>
    <row r="74" spans="1:28" s="877" customFormat="1" ht="32.25" customHeight="1">
      <c r="A74" s="870" t="s">
        <v>62</v>
      </c>
      <c r="B74" s="970" t="s">
        <v>999</v>
      </c>
      <c r="C74" s="875">
        <f>+D74+K74</f>
        <v>640000000</v>
      </c>
      <c r="D74" s="872">
        <f>SUM(D75:D76)</f>
        <v>0</v>
      </c>
      <c r="E74" s="872">
        <f>SUM(E75:E76)</f>
        <v>0</v>
      </c>
      <c r="F74" s="872">
        <f>SUM(F75:F76)</f>
        <v>0</v>
      </c>
      <c r="G74" s="872"/>
      <c r="H74" s="872"/>
      <c r="I74" s="872">
        <f>SUM(I75:I76)</f>
        <v>0</v>
      </c>
      <c r="J74" s="872">
        <f>SUM(J75:J76)</f>
        <v>0</v>
      </c>
      <c r="K74" s="875">
        <f t="shared" si="12"/>
        <v>640000000</v>
      </c>
      <c r="L74" s="872">
        <f t="shared" ref="L74:R74" si="70">SUM(L75:L76)</f>
        <v>0</v>
      </c>
      <c r="M74" s="872">
        <f t="shared" si="70"/>
        <v>1340000000</v>
      </c>
      <c r="N74" s="872">
        <f t="shared" si="70"/>
        <v>80000000</v>
      </c>
      <c r="O74" s="872">
        <f t="shared" si="70"/>
        <v>0</v>
      </c>
      <c r="P74" s="872">
        <f t="shared" si="70"/>
        <v>0</v>
      </c>
      <c r="Q74" s="872">
        <f t="shared" si="70"/>
        <v>780000000</v>
      </c>
      <c r="R74" s="872">
        <f t="shared" si="70"/>
        <v>0</v>
      </c>
      <c r="S74" s="875">
        <f t="shared" si="66"/>
        <v>640000000</v>
      </c>
      <c r="T74" s="875">
        <f>SUM(T75:T76)</f>
        <v>0</v>
      </c>
      <c r="U74" s="875">
        <f>SUM(U75:U76)</f>
        <v>640000000</v>
      </c>
      <c r="V74" s="875">
        <f>SUM(V75:V76)</f>
        <v>0</v>
      </c>
      <c r="W74" s="875">
        <f>+C74-S74-V74</f>
        <v>0</v>
      </c>
      <c r="X74" s="875">
        <v>0</v>
      </c>
      <c r="Y74" s="875">
        <f>SUM(Y75:Y76)</f>
        <v>0</v>
      </c>
      <c r="Z74" s="875">
        <f>SUM(Z75:Z76)</f>
        <v>0</v>
      </c>
      <c r="AA74" s="875">
        <v>0</v>
      </c>
    </row>
    <row r="75" spans="1:28" s="877" customFormat="1" ht="11.25" customHeight="1">
      <c r="A75" s="870" t="s">
        <v>115</v>
      </c>
      <c r="B75" s="950" t="s">
        <v>600</v>
      </c>
      <c r="C75" s="875">
        <f>+D75+K75</f>
        <v>614000000</v>
      </c>
      <c r="D75" s="872">
        <f>SUM(E75:J75)</f>
        <v>0</v>
      </c>
      <c r="E75" s="872"/>
      <c r="F75" s="872">
        <v>0</v>
      </c>
      <c r="G75" s="872"/>
      <c r="H75" s="872"/>
      <c r="I75" s="872"/>
      <c r="J75" s="872"/>
      <c r="K75" s="875">
        <f t="shared" si="12"/>
        <v>614000000</v>
      </c>
      <c r="L75" s="873"/>
      <c r="M75" s="873">
        <f>743000000+534000000</f>
        <v>1277000000</v>
      </c>
      <c r="N75" s="873">
        <v>80000000</v>
      </c>
      <c r="O75" s="873"/>
      <c r="P75" s="873"/>
      <c r="Q75" s="873">
        <v>743000000</v>
      </c>
      <c r="R75" s="952"/>
      <c r="S75" s="875">
        <f t="shared" si="66"/>
        <v>614000000</v>
      </c>
      <c r="T75" s="953"/>
      <c r="U75" s="953">
        <f>614000000</f>
        <v>614000000</v>
      </c>
      <c r="V75" s="869"/>
      <c r="W75" s="875">
        <f>+C75-S75-V75</f>
        <v>0</v>
      </c>
      <c r="X75" s="869"/>
      <c r="Y75" s="869"/>
      <c r="Z75" s="868">
        <f>+W75</f>
        <v>0</v>
      </c>
      <c r="AA75" s="954"/>
    </row>
    <row r="76" spans="1:28" s="877" customFormat="1" ht="11.25" customHeight="1">
      <c r="A76" s="870" t="s">
        <v>115</v>
      </c>
      <c r="B76" s="950" t="s">
        <v>609</v>
      </c>
      <c r="C76" s="875">
        <f>+D76+K76</f>
        <v>26000000</v>
      </c>
      <c r="D76" s="872">
        <f>SUM(E76:J76)</f>
        <v>0</v>
      </c>
      <c r="E76" s="872"/>
      <c r="F76" s="872">
        <v>0</v>
      </c>
      <c r="G76" s="872"/>
      <c r="H76" s="872"/>
      <c r="I76" s="872"/>
      <c r="J76" s="872"/>
      <c r="K76" s="875">
        <f t="shared" si="12"/>
        <v>26000000</v>
      </c>
      <c r="L76" s="873"/>
      <c r="M76" s="873">
        <f>37000000+26000000</f>
        <v>63000000</v>
      </c>
      <c r="N76" s="873"/>
      <c r="O76" s="873"/>
      <c r="P76" s="873"/>
      <c r="Q76" s="873">
        <v>37000000</v>
      </c>
      <c r="R76" s="952"/>
      <c r="S76" s="875">
        <f t="shared" si="66"/>
        <v>26000000</v>
      </c>
      <c r="T76" s="953"/>
      <c r="U76" s="869">
        <f>26000000</f>
        <v>26000000</v>
      </c>
      <c r="V76" s="869"/>
      <c r="W76" s="875">
        <f>+C76-S76-V76</f>
        <v>0</v>
      </c>
      <c r="X76" s="869"/>
      <c r="Y76" s="869"/>
      <c r="Z76" s="868">
        <f>+W76</f>
        <v>0</v>
      </c>
      <c r="AA76" s="954"/>
    </row>
    <row r="77" spans="1:28" s="877" customFormat="1" ht="30.75" customHeight="1">
      <c r="A77" s="870" t="s">
        <v>62</v>
      </c>
      <c r="B77" s="970" t="s">
        <v>1000</v>
      </c>
      <c r="C77" s="872">
        <f t="shared" ref="C77:AA77" si="71">SUM(C78:C79)</f>
        <v>1380000000</v>
      </c>
      <c r="D77" s="872">
        <f t="shared" si="71"/>
        <v>300000000</v>
      </c>
      <c r="E77" s="872">
        <f t="shared" si="71"/>
        <v>0</v>
      </c>
      <c r="F77" s="872">
        <f t="shared" si="71"/>
        <v>0</v>
      </c>
      <c r="G77" s="872">
        <f t="shared" si="71"/>
        <v>0</v>
      </c>
      <c r="H77" s="872">
        <f t="shared" si="71"/>
        <v>300000000</v>
      </c>
      <c r="I77" s="872">
        <f t="shared" si="71"/>
        <v>0</v>
      </c>
      <c r="J77" s="872">
        <f t="shared" si="71"/>
        <v>0</v>
      </c>
      <c r="K77" s="875">
        <f t="shared" si="12"/>
        <v>1080000000</v>
      </c>
      <c r="L77" s="872">
        <f t="shared" si="71"/>
        <v>0</v>
      </c>
      <c r="M77" s="872">
        <f t="shared" si="71"/>
        <v>0</v>
      </c>
      <c r="N77" s="872">
        <f t="shared" si="71"/>
        <v>300000000</v>
      </c>
      <c r="O77" s="872">
        <f t="shared" si="71"/>
        <v>0</v>
      </c>
      <c r="P77" s="872">
        <f t="shared" si="71"/>
        <v>780000000</v>
      </c>
      <c r="Q77" s="872">
        <f t="shared" si="71"/>
        <v>0</v>
      </c>
      <c r="R77" s="872">
        <f t="shared" si="71"/>
        <v>0</v>
      </c>
      <c r="S77" s="872">
        <f t="shared" si="71"/>
        <v>439889084</v>
      </c>
      <c r="T77" s="872">
        <f t="shared" si="71"/>
        <v>0</v>
      </c>
      <c r="U77" s="872">
        <f t="shared" si="71"/>
        <v>439889084</v>
      </c>
      <c r="V77" s="872">
        <f t="shared" si="71"/>
        <v>0</v>
      </c>
      <c r="W77" s="872">
        <f t="shared" si="71"/>
        <v>940110916</v>
      </c>
      <c r="X77" s="872">
        <f t="shared" si="71"/>
        <v>0</v>
      </c>
      <c r="Y77" s="872">
        <f t="shared" si="71"/>
        <v>0</v>
      </c>
      <c r="Z77" s="872">
        <f t="shared" si="71"/>
        <v>940110916</v>
      </c>
      <c r="AA77" s="872">
        <f t="shared" si="71"/>
        <v>0</v>
      </c>
    </row>
    <row r="78" spans="1:28" s="877" customFormat="1" ht="12.75" customHeight="1">
      <c r="A78" s="870" t="s">
        <v>115</v>
      </c>
      <c r="B78" s="950" t="s">
        <v>600</v>
      </c>
      <c r="C78" s="875">
        <f t="shared" ref="C78:C85" si="72">+D78+K78</f>
        <v>1314000000</v>
      </c>
      <c r="D78" s="872">
        <f t="shared" ref="D78:D85" si="73">SUM(E78:J78)</f>
        <v>285000000</v>
      </c>
      <c r="E78" s="872"/>
      <c r="F78" s="872">
        <v>0</v>
      </c>
      <c r="G78" s="872"/>
      <c r="H78" s="872">
        <v>285000000</v>
      </c>
      <c r="I78" s="872"/>
      <c r="J78" s="872"/>
      <c r="K78" s="875">
        <f t="shared" si="12"/>
        <v>1029000000</v>
      </c>
      <c r="L78" s="873"/>
      <c r="M78" s="873"/>
      <c r="N78" s="873">
        <v>286000000</v>
      </c>
      <c r="O78" s="873"/>
      <c r="P78" s="873">
        <v>743000000</v>
      </c>
      <c r="Q78" s="873"/>
      <c r="R78" s="952"/>
      <c r="S78" s="875">
        <f t="shared" ref="S78:S86" si="74">SUM(T78:U78)</f>
        <v>403889084</v>
      </c>
      <c r="T78" s="953"/>
      <c r="U78" s="953">
        <v>403889084</v>
      </c>
      <c r="V78" s="869"/>
      <c r="W78" s="875">
        <f>+C78-S78-V78</f>
        <v>910110916</v>
      </c>
      <c r="X78" s="869"/>
      <c r="Y78" s="869"/>
      <c r="Z78" s="868">
        <f>+W78</f>
        <v>910110916</v>
      </c>
      <c r="AA78" s="954"/>
    </row>
    <row r="79" spans="1:28" s="877" customFormat="1" ht="12.75" customHeight="1">
      <c r="A79" s="870" t="s">
        <v>115</v>
      </c>
      <c r="B79" s="950" t="s">
        <v>609</v>
      </c>
      <c r="C79" s="875">
        <f t="shared" si="72"/>
        <v>66000000</v>
      </c>
      <c r="D79" s="872">
        <f t="shared" si="73"/>
        <v>15000000</v>
      </c>
      <c r="E79" s="872"/>
      <c r="F79" s="872">
        <v>0</v>
      </c>
      <c r="G79" s="872"/>
      <c r="H79" s="872">
        <v>15000000</v>
      </c>
      <c r="I79" s="872"/>
      <c r="J79" s="872"/>
      <c r="K79" s="875">
        <f t="shared" ref="K79:K142" si="75">+L79+M79+N79+O79+P79-Q79-R79</f>
        <v>51000000</v>
      </c>
      <c r="L79" s="873"/>
      <c r="M79" s="873"/>
      <c r="N79" s="873">
        <v>14000000</v>
      </c>
      <c r="O79" s="873"/>
      <c r="P79" s="873">
        <v>37000000</v>
      </c>
      <c r="Q79" s="873"/>
      <c r="R79" s="952"/>
      <c r="S79" s="875">
        <f t="shared" si="74"/>
        <v>36000000</v>
      </c>
      <c r="T79" s="953"/>
      <c r="U79" s="869">
        <f>7000000+29000000</f>
        <v>36000000</v>
      </c>
      <c r="V79" s="869"/>
      <c r="W79" s="875">
        <f>+C79-S79-V79</f>
        <v>30000000</v>
      </c>
      <c r="X79" s="869"/>
      <c r="Y79" s="869"/>
      <c r="Z79" s="868">
        <f>+W79</f>
        <v>30000000</v>
      </c>
      <c r="AA79" s="954"/>
    </row>
    <row r="80" spans="1:28" s="877" customFormat="1" ht="27" customHeight="1">
      <c r="A80" s="870" t="s">
        <v>62</v>
      </c>
      <c r="B80" s="970" t="s">
        <v>1001</v>
      </c>
      <c r="C80" s="875">
        <f t="shared" si="72"/>
        <v>25000000</v>
      </c>
      <c r="D80" s="872">
        <f t="shared" si="73"/>
        <v>0</v>
      </c>
      <c r="E80" s="872">
        <v>0</v>
      </c>
      <c r="F80" s="872">
        <v>0</v>
      </c>
      <c r="G80" s="872"/>
      <c r="H80" s="872"/>
      <c r="I80" s="872">
        <v>0</v>
      </c>
      <c r="J80" s="872">
        <v>0</v>
      </c>
      <c r="K80" s="875">
        <f t="shared" si="75"/>
        <v>25000000</v>
      </c>
      <c r="L80" s="872">
        <f t="shared" ref="L80:R80" si="76">SUM(L81:L82)</f>
        <v>0</v>
      </c>
      <c r="M80" s="872">
        <f t="shared" si="76"/>
        <v>25000000</v>
      </c>
      <c r="N80" s="872">
        <f t="shared" si="76"/>
        <v>0</v>
      </c>
      <c r="O80" s="872">
        <f t="shared" si="76"/>
        <v>0</v>
      </c>
      <c r="P80" s="872"/>
      <c r="Q80" s="872"/>
      <c r="R80" s="872">
        <f t="shared" si="76"/>
        <v>0</v>
      </c>
      <c r="S80" s="875">
        <f t="shared" si="74"/>
        <v>24912526</v>
      </c>
      <c r="T80" s="875">
        <f t="shared" ref="T80:AA80" si="77">SUM(T81:T82)</f>
        <v>24912526</v>
      </c>
      <c r="U80" s="875">
        <f t="shared" si="77"/>
        <v>0</v>
      </c>
      <c r="V80" s="875">
        <f t="shared" si="77"/>
        <v>0</v>
      </c>
      <c r="W80" s="875">
        <f t="shared" si="77"/>
        <v>87474</v>
      </c>
      <c r="X80" s="875">
        <f t="shared" si="77"/>
        <v>87474</v>
      </c>
      <c r="Y80" s="875">
        <f t="shared" si="77"/>
        <v>0</v>
      </c>
      <c r="Z80" s="875">
        <f t="shared" si="77"/>
        <v>0</v>
      </c>
      <c r="AA80" s="875">
        <f t="shared" si="77"/>
        <v>0</v>
      </c>
    </row>
    <row r="81" spans="1:29" s="877" customFormat="1" ht="11.25" customHeight="1">
      <c r="A81" s="870" t="s">
        <v>115</v>
      </c>
      <c r="B81" s="950" t="s">
        <v>600</v>
      </c>
      <c r="C81" s="875">
        <f t="shared" si="72"/>
        <v>24000000</v>
      </c>
      <c r="D81" s="872">
        <f t="shared" si="73"/>
        <v>0</v>
      </c>
      <c r="E81" s="872"/>
      <c r="F81" s="872"/>
      <c r="G81" s="872"/>
      <c r="H81" s="872"/>
      <c r="I81" s="872"/>
      <c r="J81" s="872"/>
      <c r="K81" s="875">
        <f t="shared" si="75"/>
        <v>24000000</v>
      </c>
      <c r="L81" s="873"/>
      <c r="M81" s="873">
        <v>24000000</v>
      </c>
      <c r="N81" s="873"/>
      <c r="O81" s="873"/>
      <c r="P81" s="873"/>
      <c r="Q81" s="873"/>
      <c r="R81" s="952"/>
      <c r="S81" s="875">
        <f t="shared" si="74"/>
        <v>23914526</v>
      </c>
      <c r="T81" s="953">
        <v>23914526</v>
      </c>
      <c r="U81" s="953"/>
      <c r="V81" s="869"/>
      <c r="W81" s="875">
        <f>+C81-S81-V81</f>
        <v>85474</v>
      </c>
      <c r="X81" s="869">
        <f>+W81</f>
        <v>85474</v>
      </c>
      <c r="Y81" s="869"/>
      <c r="Z81" s="868"/>
      <c r="AA81" s="954"/>
    </row>
    <row r="82" spans="1:29" s="877" customFormat="1" ht="11.25" customHeight="1">
      <c r="A82" s="870" t="s">
        <v>115</v>
      </c>
      <c r="B82" s="950" t="s">
        <v>609</v>
      </c>
      <c r="C82" s="875">
        <f t="shared" si="72"/>
        <v>1000000</v>
      </c>
      <c r="D82" s="872">
        <f t="shared" si="73"/>
        <v>0</v>
      </c>
      <c r="E82" s="872"/>
      <c r="F82" s="872">
        <v>0</v>
      </c>
      <c r="G82" s="872"/>
      <c r="H82" s="872"/>
      <c r="I82" s="872"/>
      <c r="J82" s="872"/>
      <c r="K82" s="875">
        <f t="shared" si="75"/>
        <v>1000000</v>
      </c>
      <c r="L82" s="873"/>
      <c r="M82" s="873">
        <v>1000000</v>
      </c>
      <c r="N82" s="873"/>
      <c r="O82" s="873"/>
      <c r="P82" s="873"/>
      <c r="Q82" s="873"/>
      <c r="R82" s="952"/>
      <c r="S82" s="875">
        <f t="shared" si="74"/>
        <v>998000</v>
      </c>
      <c r="T82" s="953">
        <v>998000</v>
      </c>
      <c r="U82" s="953"/>
      <c r="V82" s="869"/>
      <c r="W82" s="875">
        <f>+C82-S82-V82</f>
        <v>2000</v>
      </c>
      <c r="X82" s="869">
        <f>+W82</f>
        <v>2000</v>
      </c>
      <c r="Y82" s="869"/>
      <c r="Z82" s="868"/>
      <c r="AA82" s="954"/>
    </row>
    <row r="83" spans="1:29" s="877" customFormat="1" ht="38.25" customHeight="1">
      <c r="A83" s="870" t="s">
        <v>62</v>
      </c>
      <c r="B83" s="970" t="s">
        <v>606</v>
      </c>
      <c r="C83" s="875">
        <f t="shared" si="72"/>
        <v>90000000</v>
      </c>
      <c r="D83" s="872">
        <f t="shared" si="73"/>
        <v>0</v>
      </c>
      <c r="E83" s="872">
        <v>0</v>
      </c>
      <c r="F83" s="872">
        <v>0</v>
      </c>
      <c r="G83" s="872"/>
      <c r="H83" s="872"/>
      <c r="I83" s="872">
        <v>0</v>
      </c>
      <c r="J83" s="872">
        <v>0</v>
      </c>
      <c r="K83" s="875">
        <f t="shared" si="75"/>
        <v>90000000</v>
      </c>
      <c r="L83" s="872">
        <f t="shared" ref="L83:R83" si="78">SUM(L84:L85)</f>
        <v>0</v>
      </c>
      <c r="M83" s="872">
        <f t="shared" si="78"/>
        <v>90000000</v>
      </c>
      <c r="N83" s="872">
        <f t="shared" si="78"/>
        <v>0</v>
      </c>
      <c r="O83" s="872">
        <f t="shared" si="78"/>
        <v>0</v>
      </c>
      <c r="P83" s="872"/>
      <c r="Q83" s="872"/>
      <c r="R83" s="872">
        <f t="shared" si="78"/>
        <v>0</v>
      </c>
      <c r="S83" s="875">
        <f t="shared" si="74"/>
        <v>75315000</v>
      </c>
      <c r="T83" s="875">
        <f>SUM(T84:T85)</f>
        <v>55000000</v>
      </c>
      <c r="U83" s="875">
        <f>SUM(U84:U85)</f>
        <v>20315000</v>
      </c>
      <c r="V83" s="875">
        <f>SUM(V84:V85)</f>
        <v>0</v>
      </c>
      <c r="W83" s="875">
        <f>+C83-S83-V83</f>
        <v>14685000</v>
      </c>
      <c r="X83" s="875">
        <v>0</v>
      </c>
      <c r="Y83" s="875">
        <f>SUM(Y84:Y85)</f>
        <v>0</v>
      </c>
      <c r="Z83" s="875">
        <f>SUM(Z84:Z85)</f>
        <v>14685000</v>
      </c>
      <c r="AA83" s="875">
        <v>0</v>
      </c>
    </row>
    <row r="84" spans="1:29" s="877" customFormat="1" ht="13.5" customHeight="1">
      <c r="A84" s="870" t="s">
        <v>115</v>
      </c>
      <c r="B84" s="950" t="s">
        <v>600</v>
      </c>
      <c r="C84" s="875">
        <f t="shared" si="72"/>
        <v>86000000</v>
      </c>
      <c r="D84" s="872">
        <f t="shared" si="73"/>
        <v>0</v>
      </c>
      <c r="E84" s="872"/>
      <c r="F84" s="872">
        <v>0</v>
      </c>
      <c r="G84" s="872"/>
      <c r="H84" s="872"/>
      <c r="I84" s="872"/>
      <c r="J84" s="872"/>
      <c r="K84" s="875">
        <f t="shared" si="75"/>
        <v>86000000</v>
      </c>
      <c r="L84" s="873"/>
      <c r="M84" s="873">
        <v>86000000</v>
      </c>
      <c r="N84" s="873"/>
      <c r="O84" s="873"/>
      <c r="P84" s="873"/>
      <c r="Q84" s="873"/>
      <c r="R84" s="952"/>
      <c r="S84" s="875">
        <f t="shared" si="74"/>
        <v>72815000</v>
      </c>
      <c r="T84" s="953">
        <v>54500000</v>
      </c>
      <c r="U84" s="953">
        <f>72815000-T84</f>
        <v>18315000</v>
      </c>
      <c r="V84" s="869"/>
      <c r="W84" s="875">
        <f>+C84-S84-V84</f>
        <v>13185000</v>
      </c>
      <c r="X84" s="869"/>
      <c r="Y84" s="869"/>
      <c r="Z84" s="868">
        <f>+C84-S84-V84</f>
        <v>13185000</v>
      </c>
      <c r="AA84" s="954"/>
    </row>
    <row r="85" spans="1:29" s="877" customFormat="1" ht="13.5" customHeight="1">
      <c r="A85" s="870" t="s">
        <v>115</v>
      </c>
      <c r="B85" s="950" t="s">
        <v>609</v>
      </c>
      <c r="C85" s="875">
        <f t="shared" si="72"/>
        <v>4000000</v>
      </c>
      <c r="D85" s="872">
        <f t="shared" si="73"/>
        <v>0</v>
      </c>
      <c r="E85" s="872"/>
      <c r="F85" s="872">
        <v>0</v>
      </c>
      <c r="G85" s="872"/>
      <c r="H85" s="872"/>
      <c r="I85" s="872"/>
      <c r="J85" s="872"/>
      <c r="K85" s="875">
        <f t="shared" si="75"/>
        <v>4000000</v>
      </c>
      <c r="L85" s="873"/>
      <c r="M85" s="873">
        <v>4000000</v>
      </c>
      <c r="N85" s="873"/>
      <c r="O85" s="873"/>
      <c r="P85" s="873"/>
      <c r="Q85" s="873"/>
      <c r="R85" s="952"/>
      <c r="S85" s="875">
        <f t="shared" si="74"/>
        <v>2500000</v>
      </c>
      <c r="T85" s="953">
        <v>500000</v>
      </c>
      <c r="U85" s="869">
        <v>2000000</v>
      </c>
      <c r="V85" s="869"/>
      <c r="W85" s="875">
        <f>+C85-S85-V85</f>
        <v>1500000</v>
      </c>
      <c r="X85" s="869"/>
      <c r="Y85" s="869"/>
      <c r="Z85" s="868">
        <f>+C85-S85</f>
        <v>1500000</v>
      </c>
      <c r="AA85" s="954"/>
    </row>
    <row r="86" spans="1:29" s="941" customFormat="1" ht="15" customHeight="1">
      <c r="A86" s="946" t="s">
        <v>64</v>
      </c>
      <c r="B86" s="947" t="s">
        <v>607</v>
      </c>
      <c r="C86" s="939">
        <f>+C102+C87</f>
        <v>181106083811</v>
      </c>
      <c r="D86" s="948">
        <f>+D102+D87</f>
        <v>46054679811</v>
      </c>
      <c r="E86" s="948">
        <f t="shared" ref="E86:J86" si="79">+E102+E87</f>
        <v>30938245547</v>
      </c>
      <c r="F86" s="948">
        <f t="shared" si="79"/>
        <v>13844892630</v>
      </c>
      <c r="G86" s="948">
        <f t="shared" si="79"/>
        <v>-27454165821</v>
      </c>
      <c r="H86" s="948">
        <f t="shared" si="79"/>
        <v>27454165821</v>
      </c>
      <c r="I86" s="948">
        <f t="shared" si="79"/>
        <v>147389144</v>
      </c>
      <c r="J86" s="948">
        <f t="shared" si="79"/>
        <v>1124152490</v>
      </c>
      <c r="K86" s="939">
        <f t="shared" si="75"/>
        <v>135051404000</v>
      </c>
      <c r="L86" s="948">
        <f>+L102+L87</f>
        <v>0</v>
      </c>
      <c r="M86" s="948">
        <f>+M102+M87</f>
        <v>88819000000</v>
      </c>
      <c r="N86" s="948">
        <f t="shared" ref="N86:R86" si="80">+N102+N87</f>
        <v>45923468000</v>
      </c>
      <c r="O86" s="948">
        <f t="shared" si="80"/>
        <v>0</v>
      </c>
      <c r="P86" s="948">
        <f>+P102+P87</f>
        <v>42690969032</v>
      </c>
      <c r="Q86" s="948">
        <f t="shared" si="80"/>
        <v>42382033032</v>
      </c>
      <c r="R86" s="948">
        <f t="shared" si="80"/>
        <v>0</v>
      </c>
      <c r="S86" s="939">
        <f t="shared" si="74"/>
        <v>142165572311</v>
      </c>
      <c r="T86" s="939">
        <f>+T102+T87</f>
        <v>43428366749</v>
      </c>
      <c r="U86" s="939">
        <f>+U102+U87</f>
        <v>98737205562</v>
      </c>
      <c r="V86" s="939">
        <f t="shared" ref="V86:AA86" si="81">+V102+V87</f>
        <v>0</v>
      </c>
      <c r="W86" s="939">
        <f t="shared" si="81"/>
        <v>38940511500</v>
      </c>
      <c r="X86" s="939">
        <f t="shared" si="81"/>
        <v>8191386024</v>
      </c>
      <c r="Y86" s="939">
        <f t="shared" si="81"/>
        <v>1403402034</v>
      </c>
      <c r="Z86" s="939">
        <f t="shared" si="81"/>
        <v>28146102311</v>
      </c>
      <c r="AA86" s="939">
        <f t="shared" si="81"/>
        <v>1199621131</v>
      </c>
      <c r="AB86" s="1136">
        <f>+X86+Z86</f>
        <v>36337488335</v>
      </c>
    </row>
    <row r="87" spans="1:29" s="941" customFormat="1" ht="13.5" customHeight="1">
      <c r="A87" s="946">
        <v>1</v>
      </c>
      <c r="B87" s="949" t="s">
        <v>61</v>
      </c>
      <c r="C87" s="971">
        <f>+C88+C89</f>
        <v>113327354350</v>
      </c>
      <c r="D87" s="971">
        <f>+D88+D89</f>
        <v>29526385318</v>
      </c>
      <c r="E87" s="971">
        <f t="shared" ref="E87:J87" si="82">+E88+E89</f>
        <v>1090241500</v>
      </c>
      <c r="F87" s="971">
        <f t="shared" si="82"/>
        <v>668387369</v>
      </c>
      <c r="G87" s="971">
        <f t="shared" si="82"/>
        <v>-745000000</v>
      </c>
      <c r="H87" s="971">
        <f t="shared" si="82"/>
        <v>27245179815</v>
      </c>
      <c r="I87" s="971">
        <f t="shared" si="82"/>
        <v>143424144</v>
      </c>
      <c r="J87" s="971">
        <f t="shared" si="82"/>
        <v>1124152490</v>
      </c>
      <c r="K87" s="939">
        <f t="shared" si="75"/>
        <v>83800969032</v>
      </c>
      <c r="L87" s="971">
        <f t="shared" ref="L87:T87" si="83">+L88+L89</f>
        <v>0</v>
      </c>
      <c r="M87" s="971">
        <f t="shared" si="83"/>
        <v>41061000000</v>
      </c>
      <c r="N87" s="971">
        <f t="shared" ref="N87:O87" si="84">+N88+N89</f>
        <v>49000000</v>
      </c>
      <c r="O87" s="971">
        <f t="shared" si="84"/>
        <v>0</v>
      </c>
      <c r="P87" s="971">
        <f>+P88+P89</f>
        <v>42690969032</v>
      </c>
      <c r="Q87" s="971">
        <f t="shared" ref="Q87:S87" si="85">+Q88+Q89</f>
        <v>0</v>
      </c>
      <c r="R87" s="971">
        <f t="shared" si="85"/>
        <v>0</v>
      </c>
      <c r="S87" s="971">
        <f t="shared" si="85"/>
        <v>96169242541</v>
      </c>
      <c r="T87" s="939">
        <f t="shared" si="83"/>
        <v>22413179646</v>
      </c>
      <c r="U87" s="939">
        <f t="shared" ref="U87" si="86">+U88+U89</f>
        <v>73756062895</v>
      </c>
      <c r="V87" s="939">
        <f t="shared" ref="V87:AA87" si="87">+V88+V89</f>
        <v>0</v>
      </c>
      <c r="W87" s="939">
        <f t="shared" si="87"/>
        <v>17158111809</v>
      </c>
      <c r="X87" s="939">
        <f>+X88+X89</f>
        <v>3453640354</v>
      </c>
      <c r="Y87" s="939">
        <f t="shared" si="87"/>
        <v>1403402034</v>
      </c>
      <c r="Z87" s="939">
        <f>+Z88+Z89</f>
        <v>11101448290</v>
      </c>
      <c r="AA87" s="939">
        <f t="shared" si="87"/>
        <v>1199621131</v>
      </c>
      <c r="AB87" s="1136">
        <f>SUM(AB88:AB89)</f>
        <v>36337488335</v>
      </c>
      <c r="AC87" s="1136">
        <f>+X88+Z88</f>
        <v>13423669013</v>
      </c>
    </row>
    <row r="88" spans="1:29" s="877" customFormat="1" ht="13.5" customHeight="1">
      <c r="A88" s="870" t="s">
        <v>115</v>
      </c>
      <c r="B88" s="950" t="s">
        <v>600</v>
      </c>
      <c r="C88" s="872">
        <f>+C91+C94+C97+C100</f>
        <v>108858429540</v>
      </c>
      <c r="D88" s="872">
        <f>+D91+D94+D97+D100</f>
        <v>29386971416</v>
      </c>
      <c r="E88" s="872">
        <f t="shared" ref="E88:H88" si="88">+E91+E94+E97+E100</f>
        <v>1039241500</v>
      </c>
      <c r="F88" s="872">
        <f t="shared" si="88"/>
        <v>632387369</v>
      </c>
      <c r="G88" s="872">
        <f t="shared" si="88"/>
        <v>-710000000</v>
      </c>
      <c r="H88" s="872">
        <f t="shared" si="88"/>
        <v>27170179815</v>
      </c>
      <c r="I88" s="872">
        <f t="shared" ref="I88:J88" si="89">+I91+I94+I97+I100</f>
        <v>140260344</v>
      </c>
      <c r="J88" s="872">
        <f t="shared" si="89"/>
        <v>1114902388</v>
      </c>
      <c r="K88" s="875">
        <f>+L88+M88+N88+O88+P88-Q88-R88</f>
        <v>79471458124</v>
      </c>
      <c r="L88" s="872">
        <f t="shared" ref="L88:S88" si="90">+L91+L94+L97+L100</f>
        <v>0</v>
      </c>
      <c r="M88" s="872">
        <f>+M91+M94+M97+M100</f>
        <v>38695000000</v>
      </c>
      <c r="N88" s="872">
        <f t="shared" ref="N88:R88" si="91">+N91+N94+N97+N100</f>
        <v>0</v>
      </c>
      <c r="O88" s="872">
        <f t="shared" si="91"/>
        <v>0</v>
      </c>
      <c r="P88" s="872">
        <f t="shared" si="91"/>
        <v>40776458124</v>
      </c>
      <c r="Q88" s="872">
        <f t="shared" si="91"/>
        <v>0</v>
      </c>
      <c r="R88" s="872">
        <f t="shared" si="91"/>
        <v>0</v>
      </c>
      <c r="S88" s="875">
        <f t="shared" si="90"/>
        <v>92854793764</v>
      </c>
      <c r="T88" s="875">
        <f>+T91+T94+T97+T100</f>
        <v>21756426969</v>
      </c>
      <c r="U88" s="875">
        <f t="shared" ref="U88:Z88" si="92">+U91+U94+U97+U100</f>
        <v>71098366795</v>
      </c>
      <c r="V88" s="875">
        <f t="shared" si="92"/>
        <v>0</v>
      </c>
      <c r="W88" s="875">
        <f t="shared" si="92"/>
        <v>16003635776</v>
      </c>
      <c r="X88" s="875">
        <f t="shared" si="92"/>
        <v>2864081631</v>
      </c>
      <c r="Y88" s="875">
        <f>+Y91+Y94+Y97+Y100</f>
        <v>1380345632</v>
      </c>
      <c r="Z88" s="875">
        <f t="shared" si="92"/>
        <v>10559587382</v>
      </c>
      <c r="AA88" s="875">
        <f>+AA91+AA94+AA97+AA100</f>
        <v>1199621131</v>
      </c>
      <c r="AB88" s="1120">
        <f>+X88+Z88+X103+Z103</f>
        <v>34067306927</v>
      </c>
      <c r="AC88" s="1136">
        <f>+X89+Z89</f>
        <v>1131419631</v>
      </c>
    </row>
    <row r="89" spans="1:29" s="877" customFormat="1" ht="13.5" customHeight="1">
      <c r="A89" s="870" t="s">
        <v>115</v>
      </c>
      <c r="B89" s="950" t="s">
        <v>609</v>
      </c>
      <c r="C89" s="872">
        <f>+C92+C95+C98+C101</f>
        <v>4468924810</v>
      </c>
      <c r="D89" s="872">
        <f>+D92+D95+D98+D101</f>
        <v>139413902</v>
      </c>
      <c r="E89" s="872">
        <f t="shared" ref="E89:H89" si="93">+E92+E95+E98+E101</f>
        <v>51000000</v>
      </c>
      <c r="F89" s="872">
        <f t="shared" si="93"/>
        <v>36000000</v>
      </c>
      <c r="G89" s="872">
        <f>+G92+G95+G98+G101</f>
        <v>-35000000</v>
      </c>
      <c r="H89" s="872">
        <f t="shared" si="93"/>
        <v>75000000</v>
      </c>
      <c r="I89" s="872">
        <f t="shared" ref="I89:J89" si="94">+I92+I95+I98+I101</f>
        <v>3163800</v>
      </c>
      <c r="J89" s="872">
        <f t="shared" si="94"/>
        <v>9250102</v>
      </c>
      <c r="K89" s="875">
        <f t="shared" si="75"/>
        <v>4329510908</v>
      </c>
      <c r="L89" s="872">
        <f t="shared" ref="L89:T89" si="95">+L92+L95+L98+L101</f>
        <v>0</v>
      </c>
      <c r="M89" s="872">
        <f t="shared" si="95"/>
        <v>2366000000</v>
      </c>
      <c r="N89" s="872">
        <f t="shared" ref="N89:R89" si="96">+N92+N95+N98+N101</f>
        <v>49000000</v>
      </c>
      <c r="O89" s="872">
        <f t="shared" si="96"/>
        <v>0</v>
      </c>
      <c r="P89" s="872">
        <f t="shared" si="96"/>
        <v>1914510908</v>
      </c>
      <c r="Q89" s="872">
        <f t="shared" si="96"/>
        <v>0</v>
      </c>
      <c r="R89" s="872">
        <f t="shared" si="96"/>
        <v>0</v>
      </c>
      <c r="S89" s="875">
        <f t="shared" si="95"/>
        <v>3314448777</v>
      </c>
      <c r="T89" s="872">
        <f t="shared" si="95"/>
        <v>656752677</v>
      </c>
      <c r="U89" s="872">
        <f t="shared" ref="U89:AA89" si="97">+U92+U95+U98+U101</f>
        <v>2657696100</v>
      </c>
      <c r="V89" s="872">
        <f t="shared" si="97"/>
        <v>0</v>
      </c>
      <c r="W89" s="872">
        <f t="shared" si="97"/>
        <v>1154476033</v>
      </c>
      <c r="X89" s="872">
        <f t="shared" si="97"/>
        <v>589558723</v>
      </c>
      <c r="Y89" s="875">
        <f>+Y92+Y95+Y98+Y101</f>
        <v>23056402</v>
      </c>
      <c r="Z89" s="872">
        <f t="shared" si="97"/>
        <v>541860908</v>
      </c>
      <c r="AA89" s="872">
        <f t="shared" si="97"/>
        <v>0</v>
      </c>
      <c r="AB89" s="1120">
        <f>+X89+Z89+X104+Z104</f>
        <v>2270181408</v>
      </c>
      <c r="AC89" s="1120">
        <f>+X103+Z103</f>
        <v>20643637914</v>
      </c>
    </row>
    <row r="90" spans="1:29" s="877" customFormat="1" ht="17.25" customHeight="1">
      <c r="A90" s="870" t="s">
        <v>62</v>
      </c>
      <c r="B90" s="871" t="s">
        <v>676</v>
      </c>
      <c r="C90" s="872">
        <f>SUM(C91:C92)</f>
        <v>5101241500</v>
      </c>
      <c r="D90" s="872">
        <f t="shared" ref="D90:AA90" si="98">SUM(D91:D92)</f>
        <v>2016241500</v>
      </c>
      <c r="E90" s="872">
        <f t="shared" si="98"/>
        <v>174000000</v>
      </c>
      <c r="F90" s="872">
        <f t="shared" si="98"/>
        <v>396000000</v>
      </c>
      <c r="G90" s="872">
        <f t="shared" si="98"/>
        <v>171241500</v>
      </c>
      <c r="H90" s="872">
        <f t="shared" si="98"/>
        <v>1185000000</v>
      </c>
      <c r="I90" s="872">
        <f t="shared" si="98"/>
        <v>0</v>
      </c>
      <c r="J90" s="872">
        <f t="shared" si="98"/>
        <v>90000000</v>
      </c>
      <c r="K90" s="875">
        <f t="shared" si="75"/>
        <v>3085000000</v>
      </c>
      <c r="L90" s="872">
        <f t="shared" si="98"/>
        <v>0</v>
      </c>
      <c r="M90" s="872">
        <f t="shared" si="98"/>
        <v>3036000000</v>
      </c>
      <c r="N90" s="872">
        <f t="shared" si="98"/>
        <v>49000000</v>
      </c>
      <c r="O90" s="872">
        <f t="shared" si="98"/>
        <v>0</v>
      </c>
      <c r="P90" s="872">
        <f t="shared" si="98"/>
        <v>0</v>
      </c>
      <c r="Q90" s="872">
        <f t="shared" si="98"/>
        <v>0</v>
      </c>
      <c r="R90" s="872">
        <f t="shared" si="98"/>
        <v>0</v>
      </c>
      <c r="S90" s="875">
        <f t="shared" si="98"/>
        <v>3872000000</v>
      </c>
      <c r="T90" s="872">
        <f t="shared" si="98"/>
        <v>0</v>
      </c>
      <c r="U90" s="872">
        <f t="shared" si="98"/>
        <v>3872000000</v>
      </c>
      <c r="V90" s="872">
        <f t="shared" si="98"/>
        <v>0</v>
      </c>
      <c r="W90" s="872">
        <f t="shared" si="98"/>
        <v>1229241500</v>
      </c>
      <c r="X90" s="872">
        <f t="shared" si="98"/>
        <v>171241500</v>
      </c>
      <c r="Y90" s="872">
        <f t="shared" si="98"/>
        <v>90000000</v>
      </c>
      <c r="Z90" s="872">
        <f t="shared" si="98"/>
        <v>968000000</v>
      </c>
      <c r="AA90" s="872">
        <f t="shared" si="98"/>
        <v>0</v>
      </c>
      <c r="AC90" s="1120">
        <f>+X104+Z104</f>
        <v>1138761777</v>
      </c>
    </row>
    <row r="91" spans="1:29" s="877" customFormat="1" ht="12" customHeight="1">
      <c r="A91" s="870" t="s">
        <v>115</v>
      </c>
      <c r="B91" s="950" t="s">
        <v>600</v>
      </c>
      <c r="C91" s="875">
        <f>+D91+K91</f>
        <v>4649241500</v>
      </c>
      <c r="D91" s="872">
        <f>SUM(E91:J91)</f>
        <v>1889241500</v>
      </c>
      <c r="E91" s="872">
        <v>170000000</v>
      </c>
      <c r="F91" s="872">
        <v>360000000</v>
      </c>
      <c r="G91" s="872">
        <v>159241500</v>
      </c>
      <c r="H91" s="872">
        <f>710000000+400000000</f>
        <v>1110000000</v>
      </c>
      <c r="I91" s="872"/>
      <c r="J91" s="872">
        <v>90000000</v>
      </c>
      <c r="K91" s="875">
        <f t="shared" si="75"/>
        <v>2760000000</v>
      </c>
      <c r="L91" s="873"/>
      <c r="M91" s="873">
        <v>2760000000</v>
      </c>
      <c r="N91" s="873"/>
      <c r="O91" s="873"/>
      <c r="P91" s="873"/>
      <c r="Q91" s="873"/>
      <c r="R91" s="952"/>
      <c r="S91" s="875">
        <f>SUM(T91:U91)</f>
        <v>3520000000</v>
      </c>
      <c r="T91" s="953"/>
      <c r="U91" s="953">
        <v>3520000000</v>
      </c>
      <c r="V91" s="869"/>
      <c r="W91" s="875">
        <f>+C91-S91-V91</f>
        <v>1129241500</v>
      </c>
      <c r="X91" s="869">
        <v>159241500</v>
      </c>
      <c r="Y91" s="869">
        <v>90000000</v>
      </c>
      <c r="Z91" s="867">
        <v>880000000</v>
      </c>
      <c r="AA91" s="875"/>
    </row>
    <row r="92" spans="1:29" s="877" customFormat="1" ht="12" customHeight="1">
      <c r="A92" s="870" t="s">
        <v>115</v>
      </c>
      <c r="B92" s="950" t="s">
        <v>609</v>
      </c>
      <c r="C92" s="875">
        <f>+D92+K92</f>
        <v>452000000</v>
      </c>
      <c r="D92" s="872">
        <f>SUM(E92:J92)</f>
        <v>127000000</v>
      </c>
      <c r="E92" s="872">
        <v>4000000</v>
      </c>
      <c r="F92" s="872">
        <v>36000000</v>
      </c>
      <c r="G92" s="872">
        <v>12000000</v>
      </c>
      <c r="H92" s="872">
        <f>35000000+40000000</f>
        <v>75000000</v>
      </c>
      <c r="I92" s="872"/>
      <c r="J92" s="872"/>
      <c r="K92" s="875">
        <f t="shared" si="75"/>
        <v>325000000</v>
      </c>
      <c r="L92" s="873"/>
      <c r="M92" s="873">
        <v>276000000</v>
      </c>
      <c r="N92" s="872">
        <v>49000000</v>
      </c>
      <c r="O92" s="873"/>
      <c r="P92" s="873"/>
      <c r="Q92" s="873"/>
      <c r="R92" s="952"/>
      <c r="S92" s="875">
        <f>SUM(T92:U92)</f>
        <v>352000000</v>
      </c>
      <c r="T92" s="953"/>
      <c r="U92" s="869">
        <v>352000000</v>
      </c>
      <c r="V92" s="869"/>
      <c r="W92" s="875">
        <f>+C92-S92-V92</f>
        <v>100000000</v>
      </c>
      <c r="X92" s="869">
        <v>12000000</v>
      </c>
      <c r="Y92" s="869"/>
      <c r="Z92" s="868">
        <v>88000000</v>
      </c>
      <c r="AA92" s="954"/>
    </row>
    <row r="93" spans="1:29" s="877" customFormat="1" ht="20.25" customHeight="1">
      <c r="A93" s="870" t="s">
        <v>62</v>
      </c>
      <c r="B93" s="871" t="s">
        <v>608</v>
      </c>
      <c r="C93" s="875">
        <f>SUM(C94:C95)</f>
        <v>108120696976</v>
      </c>
      <c r="D93" s="872">
        <f>SUM(D94:D95)</f>
        <v>27404727944</v>
      </c>
      <c r="E93" s="872">
        <f t="shared" ref="E93:O93" si="99">SUM(E94:E95)</f>
        <v>0</v>
      </c>
      <c r="F93" s="872">
        <f t="shared" si="99"/>
        <v>222959299</v>
      </c>
      <c r="G93" s="872">
        <f t="shared" si="99"/>
        <v>0</v>
      </c>
      <c r="H93" s="872">
        <f t="shared" si="99"/>
        <v>26060179815</v>
      </c>
      <c r="I93" s="872">
        <f t="shared" si="99"/>
        <v>130197040</v>
      </c>
      <c r="J93" s="872">
        <f t="shared" si="99"/>
        <v>991391790</v>
      </c>
      <c r="K93" s="875">
        <f t="shared" si="75"/>
        <v>80715969032</v>
      </c>
      <c r="L93" s="872">
        <f t="shared" si="99"/>
        <v>0</v>
      </c>
      <c r="M93" s="872">
        <f t="shared" si="99"/>
        <v>38025000000</v>
      </c>
      <c r="N93" s="872">
        <f t="shared" si="99"/>
        <v>0</v>
      </c>
      <c r="O93" s="872">
        <f t="shared" si="99"/>
        <v>0</v>
      </c>
      <c r="P93" s="872">
        <f>SUM(P94:P95)</f>
        <v>42690969032</v>
      </c>
      <c r="Q93" s="872">
        <f t="shared" ref="Q93:R93" si="100">SUM(Q94:Q95)</f>
        <v>0</v>
      </c>
      <c r="R93" s="872">
        <f t="shared" si="100"/>
        <v>0</v>
      </c>
      <c r="S93" s="872">
        <f t="shared" ref="S93:AA93" si="101">SUM(S94:S95)</f>
        <v>92277734471</v>
      </c>
      <c r="T93" s="872">
        <f t="shared" si="101"/>
        <v>22413179646</v>
      </c>
      <c r="U93" s="872">
        <f t="shared" si="101"/>
        <v>69864554825</v>
      </c>
      <c r="V93" s="872">
        <f t="shared" si="101"/>
        <v>0</v>
      </c>
      <c r="W93" s="872">
        <f>SUM(W94:W95)</f>
        <v>15842962505</v>
      </c>
      <c r="X93" s="872">
        <f>SUM(X94:X95)</f>
        <v>3282398854</v>
      </c>
      <c r="Y93" s="872">
        <f t="shared" si="101"/>
        <v>1257414230</v>
      </c>
      <c r="Z93" s="872">
        <f t="shared" si="101"/>
        <v>10133448290</v>
      </c>
      <c r="AA93" s="872">
        <f t="shared" si="101"/>
        <v>1169701131</v>
      </c>
    </row>
    <row r="94" spans="1:29" s="877" customFormat="1" ht="13.5" customHeight="1">
      <c r="A94" s="870" t="s">
        <v>115</v>
      </c>
      <c r="B94" s="950" t="s">
        <v>600</v>
      </c>
      <c r="C94" s="875">
        <f>+D94+K94</f>
        <v>104103772166</v>
      </c>
      <c r="D94" s="872">
        <f>SUM(E94:J94)</f>
        <v>27392314042</v>
      </c>
      <c r="E94" s="872"/>
      <c r="F94" s="872">
        <v>222959299</v>
      </c>
      <c r="G94" s="872"/>
      <c r="H94" s="872">
        <v>26060179815</v>
      </c>
      <c r="I94" s="872">
        <v>127033240</v>
      </c>
      <c r="J94" s="872">
        <v>982141688</v>
      </c>
      <c r="K94" s="875">
        <f t="shared" si="75"/>
        <v>76711458124</v>
      </c>
      <c r="L94" s="873"/>
      <c r="M94" s="873">
        <v>35935000000</v>
      </c>
      <c r="N94" s="873"/>
      <c r="O94" s="873"/>
      <c r="P94" s="873">
        <v>40776458124</v>
      </c>
      <c r="Q94" s="873"/>
      <c r="R94" s="952"/>
      <c r="S94" s="875">
        <f>SUM(T94:U94)</f>
        <v>89315285694</v>
      </c>
      <c r="T94" s="953">
        <v>21756426969</v>
      </c>
      <c r="U94" s="953">
        <v>67558858725</v>
      </c>
      <c r="V94" s="869"/>
      <c r="W94" s="875">
        <f>+C94-S94-V94</f>
        <v>14788486472</v>
      </c>
      <c r="X94" s="869">
        <v>2704840131</v>
      </c>
      <c r="Y94" s="869">
        <f>29920000+1204437828</f>
        <v>1234357828</v>
      </c>
      <c r="Z94" s="868">
        <v>9679587382</v>
      </c>
      <c r="AA94" s="875">
        <f>1199621131-29920000</f>
        <v>1169701131</v>
      </c>
    </row>
    <row r="95" spans="1:29" s="877" customFormat="1" ht="13.5" customHeight="1">
      <c r="A95" s="870" t="s">
        <v>115</v>
      </c>
      <c r="B95" s="950" t="s">
        <v>609</v>
      </c>
      <c r="C95" s="875">
        <f>+D95+K95</f>
        <v>4016924810</v>
      </c>
      <c r="D95" s="872">
        <f>SUM(E95:J95)</f>
        <v>12413902</v>
      </c>
      <c r="E95" s="872"/>
      <c r="F95" s="872"/>
      <c r="G95" s="872"/>
      <c r="H95" s="872"/>
      <c r="I95" s="872">
        <v>3163800</v>
      </c>
      <c r="J95" s="872">
        <v>9250102</v>
      </c>
      <c r="K95" s="875">
        <f t="shared" si="75"/>
        <v>4004510908</v>
      </c>
      <c r="L95" s="873"/>
      <c r="M95" s="873">
        <v>2090000000</v>
      </c>
      <c r="N95" s="873"/>
      <c r="O95" s="873"/>
      <c r="P95" s="873">
        <v>1914510908</v>
      </c>
      <c r="Q95" s="873"/>
      <c r="R95" s="952"/>
      <c r="S95" s="875">
        <f>SUM(T95:U95)</f>
        <v>2962448777</v>
      </c>
      <c r="T95" s="875">
        <v>656752677</v>
      </c>
      <c r="U95" s="973">
        <f>2322096100-16400000</f>
        <v>2305696100</v>
      </c>
      <c r="V95" s="869"/>
      <c r="W95" s="875">
        <f>+C95-S95-V95</f>
        <v>1054476033</v>
      </c>
      <c r="X95" s="869">
        <v>577558723</v>
      </c>
      <c r="Y95" s="869">
        <v>23056402</v>
      </c>
      <c r="Z95" s="868">
        <v>453860908</v>
      </c>
      <c r="AA95" s="954"/>
      <c r="AB95" s="1137">
        <v>310910000</v>
      </c>
    </row>
    <row r="96" spans="1:29" s="877" customFormat="1" ht="21" customHeight="1">
      <c r="A96" s="870" t="s">
        <v>62</v>
      </c>
      <c r="B96" s="950" t="s">
        <v>677</v>
      </c>
      <c r="C96" s="875">
        <f>SUM(C97:C98)</f>
        <v>92188770</v>
      </c>
      <c r="D96" s="875">
        <f t="shared" ref="D96:I96" si="102">SUM(D97:D98)</f>
        <v>92188770</v>
      </c>
      <c r="E96" s="875">
        <f t="shared" si="102"/>
        <v>0</v>
      </c>
      <c r="F96" s="875">
        <f t="shared" si="102"/>
        <v>49428070</v>
      </c>
      <c r="G96" s="875">
        <f t="shared" si="102"/>
        <v>0</v>
      </c>
      <c r="H96" s="875">
        <f t="shared" si="102"/>
        <v>0</v>
      </c>
      <c r="I96" s="875">
        <f t="shared" si="102"/>
        <v>0</v>
      </c>
      <c r="J96" s="872">
        <v>42760700</v>
      </c>
      <c r="K96" s="875">
        <f t="shared" si="75"/>
        <v>0</v>
      </c>
      <c r="L96" s="872">
        <f t="shared" ref="L96:V96" si="103">SUM(L97:L98)</f>
        <v>0</v>
      </c>
      <c r="M96" s="872">
        <f t="shared" si="103"/>
        <v>0</v>
      </c>
      <c r="N96" s="872">
        <f t="shared" si="103"/>
        <v>0</v>
      </c>
      <c r="O96" s="872">
        <f t="shared" si="103"/>
        <v>0</v>
      </c>
      <c r="P96" s="872"/>
      <c r="Q96" s="872"/>
      <c r="R96" s="872">
        <f t="shared" si="103"/>
        <v>0</v>
      </c>
      <c r="S96" s="875">
        <f t="shared" si="103"/>
        <v>19508070</v>
      </c>
      <c r="T96" s="875">
        <f t="shared" si="103"/>
        <v>0</v>
      </c>
      <c r="U96" s="875">
        <f t="shared" si="103"/>
        <v>19508070</v>
      </c>
      <c r="V96" s="875">
        <f t="shared" si="103"/>
        <v>0</v>
      </c>
      <c r="W96" s="875">
        <f>SUM(W97:W98)</f>
        <v>72680700</v>
      </c>
      <c r="X96" s="875">
        <f t="shared" ref="X96:AA96" si="104">SUM(X97:X98)</f>
        <v>0</v>
      </c>
      <c r="Y96" s="875">
        <f t="shared" si="104"/>
        <v>42760700</v>
      </c>
      <c r="Z96" s="875">
        <f t="shared" si="104"/>
        <v>0</v>
      </c>
      <c r="AA96" s="875">
        <f t="shared" si="104"/>
        <v>29920000</v>
      </c>
    </row>
    <row r="97" spans="1:29" s="877" customFormat="1" ht="14.25" customHeight="1">
      <c r="A97" s="870" t="s">
        <v>115</v>
      </c>
      <c r="B97" s="950" t="s">
        <v>600</v>
      </c>
      <c r="C97" s="875">
        <f>+D97+K97</f>
        <v>92188770</v>
      </c>
      <c r="D97" s="872">
        <f>SUM(E97:J97)</f>
        <v>92188770</v>
      </c>
      <c r="E97" s="872"/>
      <c r="F97" s="872">
        <v>49428070</v>
      </c>
      <c r="G97" s="872"/>
      <c r="H97" s="872"/>
      <c r="I97" s="872"/>
      <c r="J97" s="872">
        <v>42760700</v>
      </c>
      <c r="K97" s="875">
        <f t="shared" si="75"/>
        <v>0</v>
      </c>
      <c r="L97" s="873"/>
      <c r="M97" s="873"/>
      <c r="N97" s="873"/>
      <c r="O97" s="873"/>
      <c r="P97" s="873"/>
      <c r="Q97" s="873"/>
      <c r="R97" s="952"/>
      <c r="S97" s="875">
        <f>SUM(T97:U97)</f>
        <v>19508070</v>
      </c>
      <c r="T97" s="953"/>
      <c r="U97" s="953">
        <v>19508070</v>
      </c>
      <c r="V97" s="869"/>
      <c r="W97" s="875">
        <f>+C97-S97-V97</f>
        <v>72680700</v>
      </c>
      <c r="X97" s="869"/>
      <c r="Y97" s="869">
        <f>+W97-AA97</f>
        <v>42760700</v>
      </c>
      <c r="Z97" s="868"/>
      <c r="AA97" s="875">
        <f>+F97-U97</f>
        <v>29920000</v>
      </c>
    </row>
    <row r="98" spans="1:29" s="877" customFormat="1" ht="14.25" customHeight="1">
      <c r="A98" s="870" t="s">
        <v>115</v>
      </c>
      <c r="B98" s="950" t="s">
        <v>609</v>
      </c>
      <c r="C98" s="875">
        <f>+D98+K98</f>
        <v>0</v>
      </c>
      <c r="D98" s="872">
        <f>SUM(E98:J98)</f>
        <v>0</v>
      </c>
      <c r="E98" s="872">
        <v>0</v>
      </c>
      <c r="F98" s="872"/>
      <c r="G98" s="872"/>
      <c r="H98" s="872"/>
      <c r="I98" s="872"/>
      <c r="J98" s="872"/>
      <c r="K98" s="875">
        <f t="shared" si="75"/>
        <v>0</v>
      </c>
      <c r="L98" s="873"/>
      <c r="M98" s="873"/>
      <c r="N98" s="873"/>
      <c r="O98" s="873"/>
      <c r="P98" s="873"/>
      <c r="Q98" s="873"/>
      <c r="R98" s="952"/>
      <c r="S98" s="875">
        <f>SUM(T98:U98)</f>
        <v>0</v>
      </c>
      <c r="T98" s="953"/>
      <c r="U98" s="869"/>
      <c r="V98" s="869"/>
      <c r="W98" s="875">
        <f>+C98-S98-V98</f>
        <v>0</v>
      </c>
      <c r="X98" s="869">
        <v>0</v>
      </c>
      <c r="Y98" s="869"/>
      <c r="Z98" s="868"/>
      <c r="AA98" s="954"/>
    </row>
    <row r="99" spans="1:29" s="877" customFormat="1" ht="28.5" customHeight="1">
      <c r="A99" s="870" t="s">
        <v>62</v>
      </c>
      <c r="B99" s="871" t="s">
        <v>688</v>
      </c>
      <c r="C99" s="875">
        <f>SUM(C100:C101)</f>
        <v>13227104</v>
      </c>
      <c r="D99" s="875">
        <f t="shared" ref="D99:AA99" si="105">SUM(D100:D101)</f>
        <v>13227104</v>
      </c>
      <c r="E99" s="875">
        <f t="shared" si="105"/>
        <v>916241500</v>
      </c>
      <c r="F99" s="875">
        <f t="shared" si="105"/>
        <v>0</v>
      </c>
      <c r="G99" s="875">
        <f t="shared" si="105"/>
        <v>-916241500</v>
      </c>
      <c r="H99" s="875">
        <f t="shared" si="105"/>
        <v>0</v>
      </c>
      <c r="I99" s="875">
        <f t="shared" si="105"/>
        <v>13227104</v>
      </c>
      <c r="J99" s="875">
        <f t="shared" si="105"/>
        <v>0</v>
      </c>
      <c r="K99" s="875">
        <f t="shared" si="75"/>
        <v>0</v>
      </c>
      <c r="L99" s="875">
        <f t="shared" si="105"/>
        <v>0</v>
      </c>
      <c r="M99" s="875">
        <f t="shared" si="105"/>
        <v>0</v>
      </c>
      <c r="N99" s="875">
        <f t="shared" si="105"/>
        <v>0</v>
      </c>
      <c r="O99" s="875">
        <f t="shared" si="105"/>
        <v>0</v>
      </c>
      <c r="P99" s="875">
        <f t="shared" si="105"/>
        <v>0</v>
      </c>
      <c r="Q99" s="875">
        <f t="shared" si="105"/>
        <v>0</v>
      </c>
      <c r="R99" s="875">
        <f t="shared" si="105"/>
        <v>0</v>
      </c>
      <c r="S99" s="875">
        <f t="shared" si="105"/>
        <v>0</v>
      </c>
      <c r="T99" s="875">
        <f t="shared" si="105"/>
        <v>0</v>
      </c>
      <c r="U99" s="875">
        <f t="shared" si="105"/>
        <v>0</v>
      </c>
      <c r="V99" s="875">
        <f t="shared" si="105"/>
        <v>0</v>
      </c>
      <c r="W99" s="875">
        <f t="shared" si="105"/>
        <v>13227104</v>
      </c>
      <c r="X99" s="875">
        <f t="shared" si="105"/>
        <v>0</v>
      </c>
      <c r="Y99" s="875">
        <f t="shared" si="105"/>
        <v>13227104</v>
      </c>
      <c r="Z99" s="875">
        <f t="shared" si="105"/>
        <v>0</v>
      </c>
      <c r="AA99" s="875">
        <f t="shared" si="105"/>
        <v>0</v>
      </c>
    </row>
    <row r="100" spans="1:29" s="877" customFormat="1" ht="14.25" customHeight="1">
      <c r="A100" s="870" t="s">
        <v>115</v>
      </c>
      <c r="B100" s="950" t="s">
        <v>600</v>
      </c>
      <c r="C100" s="875">
        <f>+D100+K100</f>
        <v>13227104</v>
      </c>
      <c r="D100" s="872">
        <f>SUM(E100:J100)</f>
        <v>13227104</v>
      </c>
      <c r="E100" s="872">
        <v>869241500</v>
      </c>
      <c r="F100" s="872"/>
      <c r="G100" s="872">
        <f>-E100</f>
        <v>-869241500</v>
      </c>
      <c r="H100" s="872"/>
      <c r="I100" s="872">
        <v>13227104</v>
      </c>
      <c r="J100" s="872"/>
      <c r="K100" s="875">
        <f t="shared" si="75"/>
        <v>0</v>
      </c>
      <c r="L100" s="873"/>
      <c r="M100" s="873"/>
      <c r="N100" s="873"/>
      <c r="O100" s="873"/>
      <c r="P100" s="873"/>
      <c r="Q100" s="873"/>
      <c r="R100" s="952"/>
      <c r="S100" s="875">
        <f>SUM(T100:U100)</f>
        <v>0</v>
      </c>
      <c r="T100" s="953"/>
      <c r="U100" s="953"/>
      <c r="V100" s="869"/>
      <c r="W100" s="875">
        <f>+C100-S100-V100</f>
        <v>13227104</v>
      </c>
      <c r="X100" s="974"/>
      <c r="Y100" s="869">
        <v>13227104</v>
      </c>
      <c r="Z100" s="868"/>
      <c r="AA100" s="954"/>
    </row>
    <row r="101" spans="1:29" s="877" customFormat="1" ht="14.25" customHeight="1">
      <c r="A101" s="870" t="s">
        <v>115</v>
      </c>
      <c r="B101" s="950" t="s">
        <v>609</v>
      </c>
      <c r="C101" s="875">
        <f>+D101+K101</f>
        <v>0</v>
      </c>
      <c r="D101" s="872">
        <f>SUM(E101:J101)</f>
        <v>0</v>
      </c>
      <c r="E101" s="872">
        <v>47000000</v>
      </c>
      <c r="F101" s="872"/>
      <c r="G101" s="872">
        <f>-E101</f>
        <v>-47000000</v>
      </c>
      <c r="H101" s="872"/>
      <c r="I101" s="872"/>
      <c r="J101" s="872"/>
      <c r="K101" s="875">
        <f t="shared" si="75"/>
        <v>0</v>
      </c>
      <c r="L101" s="873"/>
      <c r="M101" s="873"/>
      <c r="N101" s="873"/>
      <c r="O101" s="873"/>
      <c r="P101" s="873"/>
      <c r="Q101" s="873"/>
      <c r="R101" s="952"/>
      <c r="S101" s="875">
        <f>SUM(T101:U101)</f>
        <v>0</v>
      </c>
      <c r="T101" s="953"/>
      <c r="U101" s="869"/>
      <c r="V101" s="869"/>
      <c r="W101" s="875">
        <f>+C101-S101-V101</f>
        <v>0</v>
      </c>
      <c r="X101" s="974"/>
      <c r="Y101" s="869"/>
      <c r="Z101" s="868"/>
      <c r="AA101" s="954"/>
    </row>
    <row r="102" spans="1:29" s="941" customFormat="1" ht="14.25" customHeight="1">
      <c r="A102" s="975">
        <v>2</v>
      </c>
      <c r="B102" s="968" t="s">
        <v>116</v>
      </c>
      <c r="C102" s="939">
        <f>+C103+C104</f>
        <v>67778729461</v>
      </c>
      <c r="D102" s="939">
        <f t="shared" ref="D102:V102" si="106">+D103+D104</f>
        <v>16528294493</v>
      </c>
      <c r="E102" s="939">
        <f t="shared" si="106"/>
        <v>29848004047</v>
      </c>
      <c r="F102" s="939">
        <f>+F103+F104</f>
        <v>13176505261</v>
      </c>
      <c r="G102" s="939">
        <f t="shared" si="106"/>
        <v>-26709165821</v>
      </c>
      <c r="H102" s="939">
        <f t="shared" si="106"/>
        <v>208986006</v>
      </c>
      <c r="I102" s="939">
        <f t="shared" si="106"/>
        <v>3965000</v>
      </c>
      <c r="J102" s="939">
        <f t="shared" si="106"/>
        <v>0</v>
      </c>
      <c r="K102" s="875">
        <f t="shared" si="75"/>
        <v>51250434968</v>
      </c>
      <c r="L102" s="939">
        <f t="shared" si="106"/>
        <v>0</v>
      </c>
      <c r="M102" s="939">
        <f t="shared" si="106"/>
        <v>47758000000</v>
      </c>
      <c r="N102" s="939">
        <f>+N103+N104</f>
        <v>45874468000</v>
      </c>
      <c r="O102" s="939">
        <f t="shared" si="106"/>
        <v>0</v>
      </c>
      <c r="P102" s="939">
        <f t="shared" si="106"/>
        <v>0</v>
      </c>
      <c r="Q102" s="939">
        <f t="shared" si="106"/>
        <v>42382033032</v>
      </c>
      <c r="R102" s="939">
        <f t="shared" si="106"/>
        <v>0</v>
      </c>
      <c r="S102" s="939">
        <f t="shared" si="106"/>
        <v>45996329770</v>
      </c>
      <c r="T102" s="939">
        <f t="shared" si="106"/>
        <v>21015187103</v>
      </c>
      <c r="U102" s="939">
        <f t="shared" si="106"/>
        <v>24981142667</v>
      </c>
      <c r="V102" s="939">
        <f t="shared" si="106"/>
        <v>0</v>
      </c>
      <c r="W102" s="939">
        <f>+W103+W104</f>
        <v>21782399691</v>
      </c>
      <c r="X102" s="1139">
        <f t="shared" ref="X102:AA102" si="107">+X103+X104</f>
        <v>4737745670</v>
      </c>
      <c r="Y102" s="1139">
        <f t="shared" si="107"/>
        <v>0</v>
      </c>
      <c r="Z102" s="1139">
        <f t="shared" si="107"/>
        <v>17044654021</v>
      </c>
      <c r="AA102" s="939">
        <f t="shared" si="107"/>
        <v>0</v>
      </c>
      <c r="AB102" s="1136">
        <f>SUM(X102:Z102)</f>
        <v>21782399691</v>
      </c>
    </row>
    <row r="103" spans="1:29" s="877" customFormat="1" ht="14.25" customHeight="1">
      <c r="A103" s="870" t="s">
        <v>115</v>
      </c>
      <c r="B103" s="950" t="s">
        <v>600</v>
      </c>
      <c r="C103" s="875">
        <f>+D103+K103</f>
        <v>64585974586</v>
      </c>
      <c r="D103" s="872">
        <f>+D106+D110+D113+D116+D122+D125+D128+D131+D134+D137+D140+D143+D147+D150+D153</f>
        <v>16009380710</v>
      </c>
      <c r="E103" s="872">
        <f t="shared" ref="E103:W103" si="108">+E106+E110+E113+E116+E122+E125+E128+E131+E134+E137+E140+E143+E147+E150+E153</f>
        <v>29396773395</v>
      </c>
      <c r="F103" s="872">
        <f t="shared" si="108"/>
        <v>13067322130</v>
      </c>
      <c r="G103" s="872">
        <f t="shared" si="108"/>
        <v>-26450655969</v>
      </c>
      <c r="H103" s="872">
        <f t="shared" si="108"/>
        <v>-7523846</v>
      </c>
      <c r="I103" s="872">
        <f t="shared" si="108"/>
        <v>3465000</v>
      </c>
      <c r="J103" s="872">
        <f t="shared" si="108"/>
        <v>0</v>
      </c>
      <c r="K103" s="875">
        <f t="shared" si="75"/>
        <v>48576593876</v>
      </c>
      <c r="L103" s="872">
        <f t="shared" si="108"/>
        <v>0</v>
      </c>
      <c r="M103" s="872">
        <f t="shared" si="108"/>
        <v>45427000000</v>
      </c>
      <c r="N103" s="872">
        <f t="shared" si="108"/>
        <v>43592299000</v>
      </c>
      <c r="O103" s="872">
        <f t="shared" ref="O103:R103" si="109">+O106+O110+O113+O116+O122+O125+O128+O131+O134+O137+O140+O143+O147+O150+O153</f>
        <v>0</v>
      </c>
      <c r="P103" s="872">
        <f t="shared" si="109"/>
        <v>0</v>
      </c>
      <c r="Q103" s="872">
        <f t="shared" si="109"/>
        <v>40442705124</v>
      </c>
      <c r="R103" s="872">
        <f t="shared" si="109"/>
        <v>0</v>
      </c>
      <c r="S103" s="872">
        <f t="shared" si="108"/>
        <v>43942336672</v>
      </c>
      <c r="T103" s="872">
        <f>+T106+T110+T113+T116+T122+T125+T128+T131+T134+T137+T140+T143+T147+T150+T153</f>
        <v>20108442959</v>
      </c>
      <c r="U103" s="872">
        <f t="shared" si="108"/>
        <v>23833893713</v>
      </c>
      <c r="V103" s="872">
        <f t="shared" si="108"/>
        <v>0</v>
      </c>
      <c r="W103" s="872">
        <f t="shared" si="108"/>
        <v>20643637914</v>
      </c>
      <c r="X103" s="872">
        <f t="shared" ref="X103:AA103" si="110">+X106+X110+X113+X116+X122+X125+X128+X131+X134+X137+X140+X143+X147+X150+X153</f>
        <v>4277824014</v>
      </c>
      <c r="Y103" s="872">
        <f t="shared" si="110"/>
        <v>0</v>
      </c>
      <c r="Z103" s="872">
        <f t="shared" si="110"/>
        <v>16365813900</v>
      </c>
      <c r="AA103" s="872">
        <f t="shared" si="110"/>
        <v>0</v>
      </c>
    </row>
    <row r="104" spans="1:29" s="877" customFormat="1" ht="14.25" customHeight="1">
      <c r="A104" s="870" t="s">
        <v>115</v>
      </c>
      <c r="B104" s="950" t="s">
        <v>609</v>
      </c>
      <c r="C104" s="875">
        <f>+D104+K104</f>
        <v>3192754875</v>
      </c>
      <c r="D104" s="872">
        <f>+D107+D111+D114+D117+D123+D126+D129+D132+D135+D138+D141+D144+D148+D151+D154</f>
        <v>518913783</v>
      </c>
      <c r="E104" s="872">
        <f t="shared" ref="E104:W104" si="111">+E107+E111+E114+E117+E123+E126+E129+E132+E135+E138+E141+E144+E148+E151+E154</f>
        <v>451230652</v>
      </c>
      <c r="F104" s="872">
        <f t="shared" si="111"/>
        <v>109183131</v>
      </c>
      <c r="G104" s="872">
        <f t="shared" si="111"/>
        <v>-258509852</v>
      </c>
      <c r="H104" s="872">
        <f t="shared" si="111"/>
        <v>216509852</v>
      </c>
      <c r="I104" s="872">
        <f t="shared" si="111"/>
        <v>500000</v>
      </c>
      <c r="J104" s="872">
        <f t="shared" si="111"/>
        <v>0</v>
      </c>
      <c r="K104" s="875">
        <f t="shared" si="75"/>
        <v>2673841092</v>
      </c>
      <c r="L104" s="872">
        <f t="shared" si="111"/>
        <v>0</v>
      </c>
      <c r="M104" s="872">
        <f t="shared" si="111"/>
        <v>2331000000</v>
      </c>
      <c r="N104" s="872">
        <f t="shared" si="111"/>
        <v>2282169000</v>
      </c>
      <c r="O104" s="872">
        <f t="shared" ref="O104:R104" si="112">+O107+O111+O114+O117+O123+O126+O129+O132+O135+O138+O141+O144+O148+O151+O154</f>
        <v>0</v>
      </c>
      <c r="P104" s="872">
        <f t="shared" si="112"/>
        <v>0</v>
      </c>
      <c r="Q104" s="872">
        <f t="shared" si="112"/>
        <v>1939327908</v>
      </c>
      <c r="R104" s="872">
        <f t="shared" si="112"/>
        <v>0</v>
      </c>
      <c r="S104" s="872">
        <f t="shared" si="111"/>
        <v>2053993098</v>
      </c>
      <c r="T104" s="872">
        <f t="shared" si="111"/>
        <v>906744144</v>
      </c>
      <c r="U104" s="872">
        <f t="shared" si="111"/>
        <v>1147248954</v>
      </c>
      <c r="V104" s="872">
        <f t="shared" si="111"/>
        <v>0</v>
      </c>
      <c r="W104" s="872">
        <f t="shared" si="111"/>
        <v>1138761777</v>
      </c>
      <c r="X104" s="872">
        <f t="shared" ref="X104:AA104" si="113">+X107+X111+X114+X117+X123+X126+X129+X132+X135+X138+X141+X144+X148+X151+X154</f>
        <v>459921656</v>
      </c>
      <c r="Y104" s="872">
        <f t="shared" si="113"/>
        <v>0</v>
      </c>
      <c r="Z104" s="872">
        <f t="shared" si="113"/>
        <v>678840121</v>
      </c>
      <c r="AA104" s="872">
        <f t="shared" si="113"/>
        <v>0</v>
      </c>
    </row>
    <row r="105" spans="1:29" s="877" customFormat="1" ht="18.75" customHeight="1">
      <c r="A105" s="870" t="s">
        <v>244</v>
      </c>
      <c r="B105" s="871" t="s">
        <v>610</v>
      </c>
      <c r="C105" s="875">
        <f>SUM(C106:C107)</f>
        <v>1030209000</v>
      </c>
      <c r="D105" s="875">
        <f>SUM(D106:D107)</f>
        <v>108209000</v>
      </c>
      <c r="E105" s="875">
        <f t="shared" ref="E105:AA105" si="114">SUM(E106:E107)</f>
        <v>403535000</v>
      </c>
      <c r="F105" s="875">
        <f t="shared" si="114"/>
        <v>523959500</v>
      </c>
      <c r="G105" s="875">
        <f>SUM(G106:G107)</f>
        <v>-403535000</v>
      </c>
      <c r="H105" s="875">
        <f t="shared" si="114"/>
        <v>-415750500</v>
      </c>
      <c r="I105" s="875">
        <f t="shared" si="114"/>
        <v>0</v>
      </c>
      <c r="J105" s="875">
        <f t="shared" si="114"/>
        <v>0</v>
      </c>
      <c r="K105" s="875">
        <f t="shared" si="75"/>
        <v>922000000</v>
      </c>
      <c r="L105" s="875">
        <f t="shared" si="114"/>
        <v>0</v>
      </c>
      <c r="M105" s="875">
        <f t="shared" si="114"/>
        <v>1084000000</v>
      </c>
      <c r="N105" s="875">
        <f t="shared" si="114"/>
        <v>0</v>
      </c>
      <c r="O105" s="875">
        <f t="shared" si="114"/>
        <v>0</v>
      </c>
      <c r="P105" s="875">
        <f t="shared" si="114"/>
        <v>0</v>
      </c>
      <c r="Q105" s="875">
        <f t="shared" si="114"/>
        <v>162000000</v>
      </c>
      <c r="R105" s="875">
        <f t="shared" si="114"/>
        <v>0</v>
      </c>
      <c r="S105" s="875">
        <f t="shared" si="114"/>
        <v>841054600</v>
      </c>
      <c r="T105" s="875">
        <f t="shared" si="114"/>
        <v>0</v>
      </c>
      <c r="U105" s="875">
        <f t="shared" si="114"/>
        <v>841054600</v>
      </c>
      <c r="V105" s="875">
        <f t="shared" si="114"/>
        <v>0</v>
      </c>
      <c r="W105" s="875">
        <f t="shared" si="114"/>
        <v>189154400</v>
      </c>
      <c r="X105" s="875">
        <f t="shared" si="114"/>
        <v>0</v>
      </c>
      <c r="Y105" s="875">
        <f t="shared" si="114"/>
        <v>0</v>
      </c>
      <c r="Z105" s="875">
        <f t="shared" si="114"/>
        <v>189154400</v>
      </c>
      <c r="AA105" s="875">
        <f t="shared" si="114"/>
        <v>0</v>
      </c>
    </row>
    <row r="106" spans="1:29" s="877" customFormat="1" ht="14.25" customHeight="1">
      <c r="A106" s="870" t="s">
        <v>115</v>
      </c>
      <c r="B106" s="950" t="s">
        <v>600</v>
      </c>
      <c r="C106" s="875">
        <f>+D106+K106</f>
        <v>983331483</v>
      </c>
      <c r="D106" s="872">
        <f>SUM(E106:J106)</f>
        <v>104492500</v>
      </c>
      <c r="E106" s="872">
        <v>384535000</v>
      </c>
      <c r="F106" s="872">
        <v>502952100</v>
      </c>
      <c r="G106" s="872">
        <f>-E106</f>
        <v>-384535000</v>
      </c>
      <c r="H106" s="872">
        <v>-398459600</v>
      </c>
      <c r="I106" s="872"/>
      <c r="J106" s="872"/>
      <c r="K106" s="875">
        <f t="shared" si="75"/>
        <v>878838983</v>
      </c>
      <c r="L106" s="873"/>
      <c r="M106" s="873">
        <v>1033000000</v>
      </c>
      <c r="N106" s="873"/>
      <c r="O106" s="873"/>
      <c r="P106" s="873"/>
      <c r="Q106" s="873">
        <v>154161017</v>
      </c>
      <c r="R106" s="952"/>
      <c r="S106" s="875">
        <f>SUM(T106:U106)</f>
        <v>794777083</v>
      </c>
      <c r="T106" s="953"/>
      <c r="U106" s="953">
        <v>794777083</v>
      </c>
      <c r="V106" s="869"/>
      <c r="W106" s="875">
        <f>+C106-S106-V106</f>
        <v>188554400</v>
      </c>
      <c r="X106" s="869"/>
      <c r="Y106" s="869"/>
      <c r="Z106" s="868">
        <f>+W106-X106</f>
        <v>188554400</v>
      </c>
      <c r="AA106" s="954"/>
    </row>
    <row r="107" spans="1:29" s="877" customFormat="1" ht="14.25" customHeight="1">
      <c r="A107" s="870" t="s">
        <v>115</v>
      </c>
      <c r="B107" s="950" t="s">
        <v>609</v>
      </c>
      <c r="C107" s="875">
        <f>+D107+K107</f>
        <v>46877517</v>
      </c>
      <c r="D107" s="872">
        <f>SUM(E107:J107)</f>
        <v>3716500</v>
      </c>
      <c r="E107" s="872">
        <v>19000000</v>
      </c>
      <c r="F107" s="872">
        <v>21007400</v>
      </c>
      <c r="G107" s="872">
        <f>-E107</f>
        <v>-19000000</v>
      </c>
      <c r="H107" s="872">
        <v>-17290900</v>
      </c>
      <c r="I107" s="872"/>
      <c r="J107" s="872"/>
      <c r="K107" s="875">
        <f t="shared" si="75"/>
        <v>43161017</v>
      </c>
      <c r="L107" s="873"/>
      <c r="M107" s="873">
        <v>51000000</v>
      </c>
      <c r="N107" s="873"/>
      <c r="O107" s="873"/>
      <c r="P107" s="873"/>
      <c r="Q107" s="873">
        <v>7838983</v>
      </c>
      <c r="R107" s="952"/>
      <c r="S107" s="875">
        <f>SUM(T107:U107)</f>
        <v>46277517</v>
      </c>
      <c r="T107" s="953"/>
      <c r="U107" s="869">
        <v>46277517</v>
      </c>
      <c r="V107" s="869"/>
      <c r="W107" s="875">
        <f>+C107-S107-V107</f>
        <v>600000</v>
      </c>
      <c r="X107" s="869"/>
      <c r="Y107" s="869"/>
      <c r="Z107" s="868">
        <f>+W107-X107</f>
        <v>600000</v>
      </c>
      <c r="AA107" s="954"/>
    </row>
    <row r="108" spans="1:29" s="877" customFormat="1" ht="23.25" customHeight="1">
      <c r="A108" s="870" t="s">
        <v>245</v>
      </c>
      <c r="B108" s="871" t="s">
        <v>611</v>
      </c>
      <c r="C108" s="875">
        <f>+C109+C112</f>
        <v>41604059112</v>
      </c>
      <c r="D108" s="875">
        <f t="shared" ref="D108:AA108" si="115">+D109+D112</f>
        <v>10615924144</v>
      </c>
      <c r="E108" s="875">
        <f t="shared" si="115"/>
        <v>18278591500</v>
      </c>
      <c r="F108" s="875">
        <f t="shared" si="115"/>
        <v>10276901786</v>
      </c>
      <c r="G108" s="875">
        <f t="shared" si="115"/>
        <v>-17322306500</v>
      </c>
      <c r="H108" s="875">
        <f t="shared" si="115"/>
        <v>-617262642</v>
      </c>
      <c r="I108" s="875">
        <f t="shared" si="115"/>
        <v>0</v>
      </c>
      <c r="J108" s="875">
        <f t="shared" si="115"/>
        <v>0</v>
      </c>
      <c r="K108" s="875">
        <f t="shared" si="75"/>
        <v>30988134968</v>
      </c>
      <c r="L108" s="875">
        <f t="shared" si="115"/>
        <v>0</v>
      </c>
      <c r="M108" s="875">
        <f t="shared" si="115"/>
        <v>26558000000</v>
      </c>
      <c r="N108" s="875">
        <f t="shared" si="115"/>
        <v>5875804000</v>
      </c>
      <c r="O108" s="875">
        <f t="shared" si="115"/>
        <v>0</v>
      </c>
      <c r="P108" s="875">
        <f t="shared" si="115"/>
        <v>0</v>
      </c>
      <c r="Q108" s="875">
        <f t="shared" si="115"/>
        <v>1445669032</v>
      </c>
      <c r="R108" s="875">
        <f t="shared" si="115"/>
        <v>0</v>
      </c>
      <c r="S108" s="875">
        <f t="shared" si="115"/>
        <v>25253015962</v>
      </c>
      <c r="T108" s="875">
        <f>+T109+T112</f>
        <v>10100067933</v>
      </c>
      <c r="U108" s="875">
        <f t="shared" si="115"/>
        <v>15152948029</v>
      </c>
      <c r="V108" s="875">
        <f t="shared" si="115"/>
        <v>0</v>
      </c>
      <c r="W108" s="875">
        <f t="shared" si="115"/>
        <v>16351043150</v>
      </c>
      <c r="X108" s="875">
        <f t="shared" si="115"/>
        <v>647446614</v>
      </c>
      <c r="Y108" s="875">
        <f t="shared" si="115"/>
        <v>0</v>
      </c>
      <c r="Z108" s="875">
        <f t="shared" si="115"/>
        <v>15703596536</v>
      </c>
      <c r="AA108" s="875">
        <f t="shared" si="115"/>
        <v>0</v>
      </c>
    </row>
    <row r="109" spans="1:29" s="980" customFormat="1" ht="18.75" customHeight="1">
      <c r="A109" s="976"/>
      <c r="B109" s="977" t="s">
        <v>612</v>
      </c>
      <c r="C109" s="978">
        <f>+D109+K109</f>
        <v>17944798303</v>
      </c>
      <c r="D109" s="979">
        <f>SUM(D110:D111)</f>
        <v>2738548125</v>
      </c>
      <c r="E109" s="979">
        <f t="shared" ref="E109:J109" si="116">SUM(E110:E111)</f>
        <v>18003590000</v>
      </c>
      <c r="F109" s="979">
        <f t="shared" si="116"/>
        <v>10276901786</v>
      </c>
      <c r="G109" s="979">
        <f t="shared" si="116"/>
        <v>-17170980000</v>
      </c>
      <c r="H109" s="979">
        <f>SUM(H110:H111)</f>
        <v>-8370963661</v>
      </c>
      <c r="I109" s="979">
        <f t="shared" si="116"/>
        <v>0</v>
      </c>
      <c r="J109" s="979">
        <f t="shared" si="116"/>
        <v>0</v>
      </c>
      <c r="K109" s="875">
        <f t="shared" si="75"/>
        <v>15206250178</v>
      </c>
      <c r="L109" s="979">
        <f t="shared" ref="L109:AA109" si="117">L110+L111</f>
        <v>0</v>
      </c>
      <c r="M109" s="979">
        <f t="shared" si="117"/>
        <v>13261000000</v>
      </c>
      <c r="N109" s="979">
        <f t="shared" si="117"/>
        <v>3015031000</v>
      </c>
      <c r="O109" s="979">
        <f t="shared" ref="O109:V109" si="118">O110+O111</f>
        <v>0</v>
      </c>
      <c r="P109" s="979">
        <f t="shared" si="118"/>
        <v>0</v>
      </c>
      <c r="Q109" s="979">
        <f t="shared" si="118"/>
        <v>1069780822</v>
      </c>
      <c r="R109" s="979">
        <f t="shared" si="118"/>
        <v>0</v>
      </c>
      <c r="S109" s="979">
        <f t="shared" si="118"/>
        <v>9354441678</v>
      </c>
      <c r="T109" s="979">
        <v>5380897563</v>
      </c>
      <c r="U109" s="979">
        <f t="shared" si="118"/>
        <v>3973544115</v>
      </c>
      <c r="V109" s="979">
        <f t="shared" si="118"/>
        <v>0</v>
      </c>
      <c r="W109" s="1140">
        <f t="shared" si="117"/>
        <v>8590356625</v>
      </c>
      <c r="X109" s="979">
        <f t="shared" si="117"/>
        <v>220142884</v>
      </c>
      <c r="Y109" s="979">
        <f t="shared" si="117"/>
        <v>0</v>
      </c>
      <c r="Z109" s="979">
        <f t="shared" si="117"/>
        <v>8370213741</v>
      </c>
      <c r="AA109" s="979">
        <f t="shared" si="117"/>
        <v>0</v>
      </c>
      <c r="AB109" s="980">
        <v>8587867877</v>
      </c>
    </row>
    <row r="110" spans="1:29" s="877" customFormat="1" ht="15" customHeight="1">
      <c r="A110" s="870" t="s">
        <v>115</v>
      </c>
      <c r="B110" s="950" t="s">
        <v>600</v>
      </c>
      <c r="C110" s="875">
        <f>+D110+K110</f>
        <v>17944798303</v>
      </c>
      <c r="D110" s="872">
        <f>SUM(E110:J110)</f>
        <v>2738548125</v>
      </c>
      <c r="E110" s="872">
        <v>18003590000</v>
      </c>
      <c r="F110" s="872">
        <v>10276901786</v>
      </c>
      <c r="G110" s="872">
        <v>-17170980000</v>
      </c>
      <c r="H110" s="872">
        <f>-8197349161-173614500</f>
        <v>-8370963661</v>
      </c>
      <c r="I110" s="872"/>
      <c r="J110" s="872"/>
      <c r="K110" s="875">
        <f t="shared" si="75"/>
        <v>15206250178</v>
      </c>
      <c r="L110" s="873"/>
      <c r="M110" s="873">
        <v>13261000000</v>
      </c>
      <c r="N110" s="873">
        <v>3015031000</v>
      </c>
      <c r="O110" s="873"/>
      <c r="P110" s="873"/>
      <c r="Q110" s="873">
        <v>1069780822</v>
      </c>
      <c r="R110" s="952"/>
      <c r="S110" s="875">
        <f t="shared" ref="S110:S172" si="119">SUM(T110:U110)</f>
        <v>9354441678</v>
      </c>
      <c r="T110" s="979">
        <v>5380897563</v>
      </c>
      <c r="U110" s="953">
        <v>3973544115</v>
      </c>
      <c r="V110" s="869"/>
      <c r="W110" s="875">
        <f>+C110-S110-V110</f>
        <v>8590356625</v>
      </c>
      <c r="X110" s="869">
        <v>220142884</v>
      </c>
      <c r="Y110" s="869"/>
      <c r="Z110" s="868">
        <f>+W110-X110</f>
        <v>8370213741</v>
      </c>
      <c r="AA110" s="954"/>
      <c r="AB110" s="1120">
        <f>+W109-AB109</f>
        <v>2488748</v>
      </c>
    </row>
    <row r="111" spans="1:29" s="877" customFormat="1" ht="15" customHeight="1">
      <c r="A111" s="870" t="s">
        <v>115</v>
      </c>
      <c r="B111" s="950" t="s">
        <v>609</v>
      </c>
      <c r="C111" s="875"/>
      <c r="D111" s="872"/>
      <c r="E111" s="872"/>
      <c r="F111" s="872"/>
      <c r="G111" s="872"/>
      <c r="H111" s="872"/>
      <c r="I111" s="872"/>
      <c r="J111" s="872"/>
      <c r="K111" s="875">
        <f t="shared" si="75"/>
        <v>0</v>
      </c>
      <c r="L111" s="873"/>
      <c r="M111" s="873"/>
      <c r="N111" s="873"/>
      <c r="O111" s="873"/>
      <c r="P111" s="873"/>
      <c r="Q111" s="873"/>
      <c r="R111" s="952"/>
      <c r="S111" s="875"/>
      <c r="T111" s="953"/>
      <c r="U111" s="953"/>
      <c r="V111" s="869"/>
      <c r="W111" s="875"/>
      <c r="X111" s="869"/>
      <c r="Y111" s="869"/>
      <c r="Z111" s="868"/>
      <c r="AA111" s="954"/>
      <c r="AB111" s="877">
        <v>75556670</v>
      </c>
    </row>
    <row r="112" spans="1:29" s="877" customFormat="1" ht="30" customHeight="1">
      <c r="A112" s="870" t="s">
        <v>614</v>
      </c>
      <c r="B112" s="977" t="s">
        <v>613</v>
      </c>
      <c r="C112" s="875">
        <f t="shared" ref="C112:C117" si="120">+D112+K112</f>
        <v>23659260809</v>
      </c>
      <c r="D112" s="872">
        <f>SUM(D113:D114)</f>
        <v>7877376019</v>
      </c>
      <c r="E112" s="872">
        <f t="shared" ref="E112:AA112" si="121">SUM(E113:E114)</f>
        <v>275001500</v>
      </c>
      <c r="F112" s="872">
        <f t="shared" si="121"/>
        <v>0</v>
      </c>
      <c r="G112" s="872">
        <f t="shared" si="121"/>
        <v>-151326500</v>
      </c>
      <c r="H112" s="872">
        <f t="shared" si="121"/>
        <v>7753701019</v>
      </c>
      <c r="I112" s="872">
        <f t="shared" si="121"/>
        <v>0</v>
      </c>
      <c r="J112" s="872">
        <f t="shared" si="121"/>
        <v>0</v>
      </c>
      <c r="K112" s="875">
        <f t="shared" si="75"/>
        <v>15781884790</v>
      </c>
      <c r="L112" s="872">
        <f t="shared" si="121"/>
        <v>0</v>
      </c>
      <c r="M112" s="872">
        <f t="shared" si="121"/>
        <v>13297000000</v>
      </c>
      <c r="N112" s="872">
        <f t="shared" si="121"/>
        <v>2860773000</v>
      </c>
      <c r="O112" s="872">
        <f t="shared" si="121"/>
        <v>0</v>
      </c>
      <c r="P112" s="872">
        <f t="shared" si="121"/>
        <v>0</v>
      </c>
      <c r="Q112" s="872">
        <f t="shared" si="121"/>
        <v>375888210</v>
      </c>
      <c r="R112" s="872">
        <f t="shared" si="121"/>
        <v>0</v>
      </c>
      <c r="S112" s="872">
        <f t="shared" si="121"/>
        <v>15898574284</v>
      </c>
      <c r="T112" s="872">
        <f t="shared" si="121"/>
        <v>4719170370</v>
      </c>
      <c r="U112" s="872">
        <f t="shared" si="121"/>
        <v>11179403914</v>
      </c>
      <c r="V112" s="872">
        <f t="shared" si="121"/>
        <v>0</v>
      </c>
      <c r="W112" s="872">
        <f t="shared" si="121"/>
        <v>7760686525</v>
      </c>
      <c r="X112" s="872">
        <f t="shared" si="121"/>
        <v>427303730</v>
      </c>
      <c r="Y112" s="872">
        <f t="shared" si="121"/>
        <v>0</v>
      </c>
      <c r="Z112" s="872">
        <f t="shared" si="121"/>
        <v>7333382795</v>
      </c>
      <c r="AA112" s="872">
        <f t="shared" si="121"/>
        <v>0</v>
      </c>
      <c r="AB112" s="877">
        <v>73067922</v>
      </c>
      <c r="AC112" s="1137">
        <f>+AB111-AB112</f>
        <v>2488748</v>
      </c>
    </row>
    <row r="113" spans="1:28" s="877" customFormat="1" ht="12.75" customHeight="1">
      <c r="A113" s="870" t="s">
        <v>115</v>
      </c>
      <c r="B113" s="950" t="s">
        <v>600</v>
      </c>
      <c r="C113" s="875">
        <f t="shared" si="120"/>
        <v>21706494677</v>
      </c>
      <c r="D113" s="872">
        <f>SUM(E113:J113)</f>
        <v>7617889962</v>
      </c>
      <c r="E113" s="872">
        <f>41822000+144577400</f>
        <v>186399400</v>
      </c>
      <c r="F113" s="872"/>
      <c r="G113" s="872">
        <v>-83069400</v>
      </c>
      <c r="H113" s="872">
        <v>7514559962</v>
      </c>
      <c r="I113" s="872">
        <v>0</v>
      </c>
      <c r="J113" s="872">
        <v>0</v>
      </c>
      <c r="K113" s="875">
        <f t="shared" si="75"/>
        <v>14088604715</v>
      </c>
      <c r="L113" s="873"/>
      <c r="M113" s="873">
        <v>11988000000</v>
      </c>
      <c r="N113" s="873">
        <v>2450621000</v>
      </c>
      <c r="O113" s="873"/>
      <c r="P113" s="873"/>
      <c r="Q113" s="873">
        <v>350016285</v>
      </c>
      <c r="R113" s="873"/>
      <c r="S113" s="875">
        <f>SUM(T113:U113)</f>
        <v>14713084944</v>
      </c>
      <c r="T113" s="953">
        <v>4275927708</v>
      </c>
      <c r="U113" s="953">
        <v>10437157236</v>
      </c>
      <c r="V113" s="869"/>
      <c r="W113" s="875">
        <f>+C113-S113-V113</f>
        <v>6993409733</v>
      </c>
      <c r="X113" s="869">
        <v>300856392</v>
      </c>
      <c r="Y113" s="869"/>
      <c r="Z113" s="868">
        <f>+W113-X113</f>
        <v>6692553341</v>
      </c>
      <c r="AA113" s="954"/>
    </row>
    <row r="114" spans="1:28" s="877" customFormat="1" ht="12.75" customHeight="1">
      <c r="A114" s="870" t="s">
        <v>115</v>
      </c>
      <c r="B114" s="950" t="s">
        <v>609</v>
      </c>
      <c r="C114" s="875">
        <f t="shared" si="120"/>
        <v>1952766132</v>
      </c>
      <c r="D114" s="872">
        <f>SUM(E114:J114)</f>
        <v>259486057</v>
      </c>
      <c r="E114" s="872">
        <f>130424100-41822000</f>
        <v>88602100</v>
      </c>
      <c r="F114" s="872"/>
      <c r="G114" s="872">
        <v>-68257100</v>
      </c>
      <c r="H114" s="872">
        <v>239141057</v>
      </c>
      <c r="I114" s="872">
        <v>0</v>
      </c>
      <c r="J114" s="872">
        <v>0</v>
      </c>
      <c r="K114" s="875">
        <f t="shared" si="75"/>
        <v>1693280075</v>
      </c>
      <c r="L114" s="873"/>
      <c r="M114" s="873">
        <v>1309000000</v>
      </c>
      <c r="N114" s="873">
        <v>410152000</v>
      </c>
      <c r="O114" s="873"/>
      <c r="P114" s="873"/>
      <c r="Q114" s="873">
        <v>25871925</v>
      </c>
      <c r="R114" s="873"/>
      <c r="S114" s="875">
        <f>SUM(T114:U114)</f>
        <v>1185489340</v>
      </c>
      <c r="T114" s="953">
        <v>443242662</v>
      </c>
      <c r="U114" s="869">
        <v>742246678</v>
      </c>
      <c r="V114" s="869"/>
      <c r="W114" s="875">
        <f>+C114-S114-V114</f>
        <v>767276792</v>
      </c>
      <c r="X114" s="869">
        <v>126447338</v>
      </c>
      <c r="Y114" s="869"/>
      <c r="Z114" s="868">
        <f>+W114-X114</f>
        <v>640829454</v>
      </c>
      <c r="AA114" s="954"/>
    </row>
    <row r="115" spans="1:28" s="877" customFormat="1" ht="21" customHeight="1">
      <c r="A115" s="870" t="s">
        <v>252</v>
      </c>
      <c r="B115" s="871" t="s">
        <v>608</v>
      </c>
      <c r="C115" s="875">
        <f t="shared" si="120"/>
        <v>7016142907</v>
      </c>
      <c r="D115" s="872">
        <f>SUM(D116:D117)</f>
        <v>2913142907</v>
      </c>
      <c r="E115" s="872">
        <f t="shared" ref="E115:AA115" si="122">SUM(E116:E117)</f>
        <v>29042252</v>
      </c>
      <c r="F115" s="872">
        <f t="shared" si="122"/>
        <v>1425963939</v>
      </c>
      <c r="G115" s="872">
        <f t="shared" si="122"/>
        <v>-29042252</v>
      </c>
      <c r="H115" s="872">
        <f t="shared" si="122"/>
        <v>1487178968</v>
      </c>
      <c r="I115" s="872">
        <f t="shared" si="122"/>
        <v>0</v>
      </c>
      <c r="J115" s="872">
        <f t="shared" si="122"/>
        <v>0</v>
      </c>
      <c r="K115" s="875">
        <f t="shared" si="75"/>
        <v>4103000000</v>
      </c>
      <c r="L115" s="872">
        <f t="shared" si="122"/>
        <v>0</v>
      </c>
      <c r="M115" s="872">
        <f t="shared" si="122"/>
        <v>4003000000</v>
      </c>
      <c r="N115" s="872">
        <f t="shared" si="122"/>
        <v>39998664000</v>
      </c>
      <c r="O115" s="872">
        <f t="shared" si="122"/>
        <v>0</v>
      </c>
      <c r="P115" s="872">
        <f t="shared" si="122"/>
        <v>0</v>
      </c>
      <c r="Q115" s="872">
        <f>SUM(Q116:Q117)</f>
        <v>39898664000</v>
      </c>
      <c r="R115" s="872">
        <f t="shared" si="122"/>
        <v>0</v>
      </c>
      <c r="S115" s="872">
        <f t="shared" si="122"/>
        <v>6180610092</v>
      </c>
      <c r="T115" s="872">
        <f t="shared" si="122"/>
        <v>0</v>
      </c>
      <c r="U115" s="872">
        <f t="shared" si="122"/>
        <v>6180610092</v>
      </c>
      <c r="V115" s="872">
        <f t="shared" si="122"/>
        <v>0</v>
      </c>
      <c r="W115" s="872">
        <f t="shared" si="122"/>
        <v>835532815</v>
      </c>
      <c r="X115" s="872">
        <f t="shared" si="122"/>
        <v>0</v>
      </c>
      <c r="Y115" s="872">
        <f t="shared" si="122"/>
        <v>0</v>
      </c>
      <c r="Z115" s="872">
        <f t="shared" si="122"/>
        <v>835532815</v>
      </c>
      <c r="AA115" s="872">
        <f t="shared" si="122"/>
        <v>0</v>
      </c>
    </row>
    <row r="116" spans="1:28" s="877" customFormat="1" ht="14.25" customHeight="1">
      <c r="A116" s="870" t="s">
        <v>115</v>
      </c>
      <c r="B116" s="950" t="s">
        <v>600</v>
      </c>
      <c r="C116" s="875">
        <f>+D116+K116</f>
        <v>6758522121</v>
      </c>
      <c r="D116" s="872">
        <f>SUM(E116:J116)</f>
        <v>2851522121</v>
      </c>
      <c r="E116" s="872"/>
      <c r="F116" s="872">
        <v>1373473548</v>
      </c>
      <c r="G116" s="872"/>
      <c r="H116" s="872">
        <v>1478048573</v>
      </c>
      <c r="I116" s="872"/>
      <c r="J116" s="872"/>
      <c r="K116" s="875">
        <f t="shared" si="75"/>
        <v>3907000000</v>
      </c>
      <c r="L116" s="873"/>
      <c r="M116" s="873">
        <v>3812000000</v>
      </c>
      <c r="N116" s="873">
        <f>30426769000+7699878000</f>
        <v>38126647000</v>
      </c>
      <c r="O116" s="873"/>
      <c r="P116" s="873"/>
      <c r="Q116" s="873">
        <f>+N116-95000000</f>
        <v>38031647000</v>
      </c>
      <c r="R116" s="952"/>
      <c r="S116" s="875">
        <f t="shared" si="119"/>
        <v>5956872133</v>
      </c>
      <c r="T116" s="953"/>
      <c r="U116" s="953">
        <v>5956872133</v>
      </c>
      <c r="V116" s="869"/>
      <c r="W116" s="875">
        <f>+C116-S116-V116</f>
        <v>801649988</v>
      </c>
      <c r="X116" s="869"/>
      <c r="Y116" s="869"/>
      <c r="Z116" s="868">
        <f>+W116</f>
        <v>801649988</v>
      </c>
      <c r="AA116" s="875"/>
    </row>
    <row r="117" spans="1:28" s="877" customFormat="1" ht="14.25" customHeight="1">
      <c r="A117" s="870" t="s">
        <v>115</v>
      </c>
      <c r="B117" s="950" t="s">
        <v>609</v>
      </c>
      <c r="C117" s="875">
        <f t="shared" si="120"/>
        <v>257620786</v>
      </c>
      <c r="D117" s="872">
        <f>SUM(E117:J117)</f>
        <v>61620786</v>
      </c>
      <c r="E117" s="872">
        <v>29042252</v>
      </c>
      <c r="F117" s="872">
        <v>52490391</v>
      </c>
      <c r="G117" s="872">
        <f>+-E117</f>
        <v>-29042252</v>
      </c>
      <c r="H117" s="872">
        <v>9130395</v>
      </c>
      <c r="I117" s="872"/>
      <c r="J117" s="872"/>
      <c r="K117" s="875">
        <f t="shared" si="75"/>
        <v>196000000</v>
      </c>
      <c r="L117" s="873"/>
      <c r="M117" s="873">
        <v>191000000</v>
      </c>
      <c r="N117" s="873">
        <f>665137000+1206880000</f>
        <v>1872017000</v>
      </c>
      <c r="O117" s="873"/>
      <c r="P117" s="873"/>
      <c r="Q117" s="873">
        <f>+N117-5000000</f>
        <v>1867017000</v>
      </c>
      <c r="R117" s="952"/>
      <c r="S117" s="875">
        <f t="shared" si="119"/>
        <v>223737959</v>
      </c>
      <c r="T117" s="953"/>
      <c r="U117" s="869">
        <v>223737959</v>
      </c>
      <c r="V117" s="869"/>
      <c r="W117" s="875">
        <f>+C117-S117-V117</f>
        <v>33882827</v>
      </c>
      <c r="X117" s="869"/>
      <c r="Y117" s="869"/>
      <c r="Z117" s="868">
        <f>+W117</f>
        <v>33882827</v>
      </c>
      <c r="AA117" s="954"/>
    </row>
    <row r="118" spans="1:28" s="877" customFormat="1" ht="14.25" customHeight="1">
      <c r="A118" s="870" t="s">
        <v>50</v>
      </c>
      <c r="B118" s="871" t="s">
        <v>615</v>
      </c>
      <c r="C118" s="875">
        <f>+C119+C120</f>
        <v>10257417400</v>
      </c>
      <c r="D118" s="875">
        <f t="shared" ref="D118:AA118" si="123">+D119+D120</f>
        <v>1048417400</v>
      </c>
      <c r="E118" s="875">
        <f t="shared" si="123"/>
        <v>6896784917</v>
      </c>
      <c r="F118" s="875">
        <f t="shared" si="123"/>
        <v>0</v>
      </c>
      <c r="G118" s="875">
        <f t="shared" si="123"/>
        <v>-5848367517</v>
      </c>
      <c r="H118" s="875">
        <f t="shared" si="123"/>
        <v>0</v>
      </c>
      <c r="I118" s="875">
        <f t="shared" si="123"/>
        <v>0</v>
      </c>
      <c r="J118" s="875">
        <f t="shared" si="123"/>
        <v>0</v>
      </c>
      <c r="K118" s="875">
        <f t="shared" si="75"/>
        <v>9209000000</v>
      </c>
      <c r="L118" s="875">
        <f t="shared" si="123"/>
        <v>0</v>
      </c>
      <c r="M118" s="875">
        <f t="shared" si="123"/>
        <v>9209000000</v>
      </c>
      <c r="N118" s="875">
        <f t="shared" si="123"/>
        <v>0</v>
      </c>
      <c r="O118" s="875">
        <f t="shared" si="123"/>
        <v>0</v>
      </c>
      <c r="P118" s="875">
        <f t="shared" si="123"/>
        <v>0</v>
      </c>
      <c r="Q118" s="875">
        <f t="shared" si="123"/>
        <v>0</v>
      </c>
      <c r="R118" s="875">
        <f t="shared" si="123"/>
        <v>0</v>
      </c>
      <c r="S118" s="875">
        <f t="shared" si="123"/>
        <v>7300604994</v>
      </c>
      <c r="T118" s="875">
        <f t="shared" si="123"/>
        <v>7300604994</v>
      </c>
      <c r="U118" s="875">
        <f t="shared" si="123"/>
        <v>0</v>
      </c>
      <c r="V118" s="875">
        <f t="shared" si="123"/>
        <v>0</v>
      </c>
      <c r="W118" s="875">
        <f t="shared" si="123"/>
        <v>2956812406</v>
      </c>
      <c r="X118" s="875">
        <f t="shared" si="123"/>
        <v>2956812406</v>
      </c>
      <c r="Y118" s="875">
        <f t="shared" si="123"/>
        <v>0</v>
      </c>
      <c r="Z118" s="875">
        <f t="shared" si="123"/>
        <v>0</v>
      </c>
      <c r="AA118" s="875">
        <f t="shared" si="123"/>
        <v>0</v>
      </c>
    </row>
    <row r="119" spans="1:28" s="877" customFormat="1" ht="14.25" customHeight="1">
      <c r="A119" s="870" t="s">
        <v>115</v>
      </c>
      <c r="B119" s="950" t="s">
        <v>600</v>
      </c>
      <c r="C119" s="875">
        <f>+C122+C125+C128+C131</f>
        <v>9684417400</v>
      </c>
      <c r="D119" s="875">
        <f t="shared" ref="D119:AA119" si="124">+D122+D125+D128+D131</f>
        <v>925417400</v>
      </c>
      <c r="E119" s="875">
        <f t="shared" si="124"/>
        <v>6665298917</v>
      </c>
      <c r="F119" s="875">
        <f t="shared" si="124"/>
        <v>0</v>
      </c>
      <c r="G119" s="875">
        <f t="shared" si="124"/>
        <v>-5739881517</v>
      </c>
      <c r="H119" s="875">
        <f t="shared" si="124"/>
        <v>0</v>
      </c>
      <c r="I119" s="875">
        <f t="shared" si="124"/>
        <v>0</v>
      </c>
      <c r="J119" s="875">
        <f t="shared" si="124"/>
        <v>0</v>
      </c>
      <c r="K119" s="875">
        <f t="shared" si="75"/>
        <v>8759000000</v>
      </c>
      <c r="L119" s="875">
        <f t="shared" si="124"/>
        <v>0</v>
      </c>
      <c r="M119" s="875">
        <f t="shared" si="124"/>
        <v>8759000000</v>
      </c>
      <c r="N119" s="875">
        <f t="shared" si="124"/>
        <v>0</v>
      </c>
      <c r="O119" s="875">
        <f t="shared" si="124"/>
        <v>0</v>
      </c>
      <c r="P119" s="875">
        <f t="shared" si="124"/>
        <v>0</v>
      </c>
      <c r="Q119" s="875">
        <f t="shared" si="124"/>
        <v>0</v>
      </c>
      <c r="R119" s="875">
        <f t="shared" si="124"/>
        <v>0</v>
      </c>
      <c r="S119" s="875">
        <f t="shared" si="124"/>
        <v>6969232994</v>
      </c>
      <c r="T119" s="875">
        <f t="shared" si="124"/>
        <v>6969232994</v>
      </c>
      <c r="U119" s="875">
        <f t="shared" si="124"/>
        <v>0</v>
      </c>
      <c r="V119" s="875">
        <f t="shared" si="124"/>
        <v>0</v>
      </c>
      <c r="W119" s="875">
        <f t="shared" si="124"/>
        <v>2715184406</v>
      </c>
      <c r="X119" s="875">
        <f t="shared" si="124"/>
        <v>2715184406</v>
      </c>
      <c r="Y119" s="875">
        <f t="shared" si="124"/>
        <v>0</v>
      </c>
      <c r="Z119" s="875">
        <f t="shared" si="124"/>
        <v>0</v>
      </c>
      <c r="AA119" s="875">
        <f t="shared" si="124"/>
        <v>0</v>
      </c>
    </row>
    <row r="120" spans="1:28" s="877" customFormat="1" ht="14.25" customHeight="1">
      <c r="A120" s="870" t="s">
        <v>115</v>
      </c>
      <c r="B120" s="950" t="s">
        <v>609</v>
      </c>
      <c r="C120" s="875">
        <f>+C123+C126+C129+C132</f>
        <v>573000000</v>
      </c>
      <c r="D120" s="875">
        <f t="shared" ref="D120:AA120" si="125">+D123+D126+D129+D132</f>
        <v>123000000</v>
      </c>
      <c r="E120" s="875">
        <f t="shared" si="125"/>
        <v>231486000</v>
      </c>
      <c r="F120" s="875">
        <f t="shared" si="125"/>
        <v>0</v>
      </c>
      <c r="G120" s="875">
        <f t="shared" si="125"/>
        <v>-108486000</v>
      </c>
      <c r="H120" s="875">
        <f t="shared" si="125"/>
        <v>0</v>
      </c>
      <c r="I120" s="875">
        <f t="shared" si="125"/>
        <v>0</v>
      </c>
      <c r="J120" s="875">
        <f t="shared" si="125"/>
        <v>0</v>
      </c>
      <c r="K120" s="875">
        <f t="shared" si="75"/>
        <v>450000000</v>
      </c>
      <c r="L120" s="875">
        <f t="shared" si="125"/>
        <v>0</v>
      </c>
      <c r="M120" s="875">
        <f t="shared" si="125"/>
        <v>450000000</v>
      </c>
      <c r="N120" s="875">
        <f t="shared" si="125"/>
        <v>0</v>
      </c>
      <c r="O120" s="875">
        <f t="shared" si="125"/>
        <v>0</v>
      </c>
      <c r="P120" s="875">
        <f t="shared" si="125"/>
        <v>0</v>
      </c>
      <c r="Q120" s="875">
        <f t="shared" si="125"/>
        <v>0</v>
      </c>
      <c r="R120" s="875">
        <f t="shared" si="125"/>
        <v>0</v>
      </c>
      <c r="S120" s="875">
        <f t="shared" si="125"/>
        <v>331372000</v>
      </c>
      <c r="T120" s="875">
        <f t="shared" si="125"/>
        <v>331372000</v>
      </c>
      <c r="U120" s="875">
        <f t="shared" si="125"/>
        <v>0</v>
      </c>
      <c r="V120" s="875">
        <f t="shared" si="125"/>
        <v>0</v>
      </c>
      <c r="W120" s="875">
        <f t="shared" si="125"/>
        <v>241628000</v>
      </c>
      <c r="X120" s="875">
        <f t="shared" si="125"/>
        <v>241628000</v>
      </c>
      <c r="Y120" s="875">
        <f t="shared" si="125"/>
        <v>0</v>
      </c>
      <c r="Z120" s="875">
        <f t="shared" si="125"/>
        <v>0</v>
      </c>
      <c r="AA120" s="875">
        <f t="shared" si="125"/>
        <v>0</v>
      </c>
    </row>
    <row r="121" spans="1:28" s="877" customFormat="1" ht="36.75" customHeight="1">
      <c r="A121" s="870" t="s">
        <v>619</v>
      </c>
      <c r="B121" s="977" t="s">
        <v>616</v>
      </c>
      <c r="C121" s="875">
        <f>SUM(C122:C123)</f>
        <v>2408316000</v>
      </c>
      <c r="D121" s="872">
        <f t="shared" ref="D121:V121" si="126">SUM(D122:D123)</f>
        <v>390316000</v>
      </c>
      <c r="E121" s="872">
        <v>390316000</v>
      </c>
      <c r="F121" s="872">
        <v>0</v>
      </c>
      <c r="G121" s="872"/>
      <c r="H121" s="872"/>
      <c r="I121" s="872">
        <v>0</v>
      </c>
      <c r="J121" s="872">
        <v>0</v>
      </c>
      <c r="K121" s="875">
        <f t="shared" si="75"/>
        <v>2018000000</v>
      </c>
      <c r="L121" s="872">
        <f t="shared" si="126"/>
        <v>0</v>
      </c>
      <c r="M121" s="872">
        <f t="shared" si="126"/>
        <v>2018000000</v>
      </c>
      <c r="N121" s="872">
        <f t="shared" si="126"/>
        <v>0</v>
      </c>
      <c r="O121" s="872">
        <f t="shared" si="126"/>
        <v>0</v>
      </c>
      <c r="P121" s="872"/>
      <c r="Q121" s="872"/>
      <c r="R121" s="872">
        <f t="shared" si="126"/>
        <v>0</v>
      </c>
      <c r="S121" s="875">
        <f t="shared" si="126"/>
        <v>1975037000</v>
      </c>
      <c r="T121" s="875">
        <f>SUM(T122:T123)</f>
        <v>1975037000</v>
      </c>
      <c r="U121" s="875">
        <f t="shared" si="126"/>
        <v>0</v>
      </c>
      <c r="V121" s="875">
        <f t="shared" si="126"/>
        <v>0</v>
      </c>
      <c r="W121" s="875">
        <f>SUM(W122:W123)</f>
        <v>433279000</v>
      </c>
      <c r="X121" s="875">
        <f>SUM(X122:X123)</f>
        <v>433279000</v>
      </c>
      <c r="Y121" s="875">
        <f>SUM(Y122:Y123)</f>
        <v>0</v>
      </c>
      <c r="Z121" s="875">
        <f>SUM(Z122:Z123)</f>
        <v>0</v>
      </c>
      <c r="AA121" s="875">
        <f>SUM(AA122:AA123)</f>
        <v>0</v>
      </c>
    </row>
    <row r="122" spans="1:28" s="877" customFormat="1" ht="13.5" customHeight="1">
      <c r="A122" s="870" t="s">
        <v>115</v>
      </c>
      <c r="B122" s="950" t="s">
        <v>600</v>
      </c>
      <c r="C122" s="875">
        <f>+D122+K122</f>
        <v>2133316000</v>
      </c>
      <c r="D122" s="872">
        <f>SUM(E122:J122)</f>
        <v>267316000</v>
      </c>
      <c r="E122" s="872">
        <v>267316000</v>
      </c>
      <c r="F122" s="872"/>
      <c r="G122" s="872"/>
      <c r="H122" s="872"/>
      <c r="I122" s="872"/>
      <c r="J122" s="872"/>
      <c r="K122" s="875">
        <f t="shared" si="75"/>
        <v>1866000000</v>
      </c>
      <c r="L122" s="873"/>
      <c r="M122" s="873">
        <v>1866000000</v>
      </c>
      <c r="N122" s="873"/>
      <c r="O122" s="873"/>
      <c r="P122" s="873"/>
      <c r="Q122" s="873"/>
      <c r="R122" s="952"/>
      <c r="S122" s="875">
        <f t="shared" si="119"/>
        <v>1941665000</v>
      </c>
      <c r="T122" s="953">
        <v>1941665000</v>
      </c>
      <c r="U122" s="953"/>
      <c r="V122" s="869"/>
      <c r="W122" s="875">
        <f>+C122-S122-V122</f>
        <v>191651000</v>
      </c>
      <c r="X122" s="869">
        <f>+W122</f>
        <v>191651000</v>
      </c>
      <c r="Y122" s="869"/>
      <c r="Z122" s="868"/>
      <c r="AA122" s="954"/>
    </row>
    <row r="123" spans="1:28" s="877" customFormat="1" ht="13.5" customHeight="1">
      <c r="A123" s="870" t="s">
        <v>115</v>
      </c>
      <c r="B123" s="950" t="s">
        <v>609</v>
      </c>
      <c r="C123" s="875">
        <f>+D123+K123</f>
        <v>275000000</v>
      </c>
      <c r="D123" s="872">
        <f>SUM(E123:J123)</f>
        <v>123000000</v>
      </c>
      <c r="E123" s="872">
        <v>123000000</v>
      </c>
      <c r="F123" s="872"/>
      <c r="G123" s="872"/>
      <c r="H123" s="872"/>
      <c r="I123" s="872"/>
      <c r="J123" s="872"/>
      <c r="K123" s="875">
        <f t="shared" si="75"/>
        <v>152000000</v>
      </c>
      <c r="L123" s="873"/>
      <c r="M123" s="873">
        <v>152000000</v>
      </c>
      <c r="N123" s="873"/>
      <c r="O123" s="873"/>
      <c r="P123" s="873"/>
      <c r="Q123" s="873"/>
      <c r="R123" s="952"/>
      <c r="S123" s="875">
        <f t="shared" si="119"/>
        <v>33372000</v>
      </c>
      <c r="T123" s="953">
        <v>33372000</v>
      </c>
      <c r="U123" s="869"/>
      <c r="V123" s="869"/>
      <c r="W123" s="875">
        <f>+C123-S123-V123</f>
        <v>241628000</v>
      </c>
      <c r="X123" s="869">
        <f>+W123</f>
        <v>241628000</v>
      </c>
      <c r="Y123" s="869"/>
      <c r="Z123" s="868"/>
      <c r="AA123" s="954"/>
    </row>
    <row r="124" spans="1:28" s="877" customFormat="1" ht="26.25" customHeight="1">
      <c r="A124" s="870" t="s">
        <v>620</v>
      </c>
      <c r="B124" s="977" t="s">
        <v>617</v>
      </c>
      <c r="C124" s="875">
        <f>+C125+C126</f>
        <v>592975360</v>
      </c>
      <c r="D124" s="872">
        <f t="shared" ref="D124:V124" si="127">+D125+D126</f>
        <v>210975360</v>
      </c>
      <c r="E124" s="872">
        <v>210975360</v>
      </c>
      <c r="F124" s="872">
        <v>0</v>
      </c>
      <c r="G124" s="872"/>
      <c r="H124" s="872"/>
      <c r="I124" s="872">
        <v>0</v>
      </c>
      <c r="J124" s="872">
        <v>0</v>
      </c>
      <c r="K124" s="875">
        <f t="shared" si="75"/>
        <v>382000000</v>
      </c>
      <c r="L124" s="872">
        <f t="shared" si="127"/>
        <v>0</v>
      </c>
      <c r="M124" s="872">
        <f t="shared" si="127"/>
        <v>382000000</v>
      </c>
      <c r="N124" s="872">
        <f t="shared" si="127"/>
        <v>0</v>
      </c>
      <c r="O124" s="872">
        <f t="shared" si="127"/>
        <v>0</v>
      </c>
      <c r="P124" s="872"/>
      <c r="Q124" s="872"/>
      <c r="R124" s="872">
        <f t="shared" si="127"/>
        <v>0</v>
      </c>
      <c r="S124" s="875">
        <f t="shared" si="127"/>
        <v>424394564</v>
      </c>
      <c r="T124" s="875">
        <f t="shared" si="127"/>
        <v>424394564</v>
      </c>
      <c r="U124" s="875">
        <f t="shared" si="127"/>
        <v>0</v>
      </c>
      <c r="V124" s="875">
        <f t="shared" si="127"/>
        <v>0</v>
      </c>
      <c r="W124" s="875">
        <f>+W125+W126</f>
        <v>168580796</v>
      </c>
      <c r="X124" s="875">
        <f>+X125+X126</f>
        <v>168580796</v>
      </c>
      <c r="Y124" s="875">
        <f>+Y125+Y126</f>
        <v>0</v>
      </c>
      <c r="Z124" s="875">
        <f>+Z125+Z126</f>
        <v>0</v>
      </c>
      <c r="AA124" s="875">
        <f>+AA125+AA126</f>
        <v>0</v>
      </c>
    </row>
    <row r="125" spans="1:28" s="877" customFormat="1" ht="13.5" customHeight="1">
      <c r="A125" s="870" t="s">
        <v>115</v>
      </c>
      <c r="B125" s="950" t="s">
        <v>600</v>
      </c>
      <c r="C125" s="875">
        <f>+D125+K125</f>
        <v>592975360</v>
      </c>
      <c r="D125" s="872">
        <f>SUM(E125:J125)</f>
        <v>210975360</v>
      </c>
      <c r="E125" s="872">
        <v>210975360</v>
      </c>
      <c r="F125" s="872">
        <v>0</v>
      </c>
      <c r="G125" s="872"/>
      <c r="H125" s="872"/>
      <c r="I125" s="872"/>
      <c r="J125" s="872"/>
      <c r="K125" s="875">
        <f t="shared" si="75"/>
        <v>382000000</v>
      </c>
      <c r="L125" s="873"/>
      <c r="M125" s="873">
        <v>382000000</v>
      </c>
      <c r="N125" s="873"/>
      <c r="O125" s="873"/>
      <c r="P125" s="873"/>
      <c r="Q125" s="873"/>
      <c r="R125" s="952"/>
      <c r="S125" s="875">
        <f t="shared" si="119"/>
        <v>424394564</v>
      </c>
      <c r="T125" s="953">
        <v>424394564</v>
      </c>
      <c r="U125" s="953"/>
      <c r="V125" s="869"/>
      <c r="W125" s="875">
        <f>+C125-S125-V125</f>
        <v>168580796</v>
      </c>
      <c r="X125" s="869">
        <f>+W125</f>
        <v>168580796</v>
      </c>
      <c r="Y125" s="869"/>
      <c r="Z125" s="868"/>
      <c r="AA125" s="954"/>
      <c r="AB125" s="1120">
        <f>+W125</f>
        <v>168580796</v>
      </c>
    </row>
    <row r="126" spans="1:28" s="877" customFormat="1" ht="13.5" customHeight="1">
      <c r="A126" s="870" t="s">
        <v>115</v>
      </c>
      <c r="B126" s="950" t="s">
        <v>609</v>
      </c>
      <c r="C126" s="875">
        <f>+D126+K126</f>
        <v>0</v>
      </c>
      <c r="D126" s="872">
        <f>SUM(E126:J126)</f>
        <v>0</v>
      </c>
      <c r="E126" s="872">
        <v>0</v>
      </c>
      <c r="F126" s="872">
        <v>0</v>
      </c>
      <c r="G126" s="872"/>
      <c r="H126" s="872"/>
      <c r="I126" s="872"/>
      <c r="J126" s="872"/>
      <c r="K126" s="875">
        <f t="shared" si="75"/>
        <v>0</v>
      </c>
      <c r="L126" s="873"/>
      <c r="M126" s="873"/>
      <c r="N126" s="873"/>
      <c r="O126" s="873"/>
      <c r="P126" s="873"/>
      <c r="Q126" s="873"/>
      <c r="R126" s="952"/>
      <c r="S126" s="875">
        <f t="shared" si="119"/>
        <v>0</v>
      </c>
      <c r="T126" s="953"/>
      <c r="U126" s="869"/>
      <c r="V126" s="869"/>
      <c r="W126" s="875">
        <f>+C126-S126-V126</f>
        <v>0</v>
      </c>
      <c r="X126" s="869">
        <v>0</v>
      </c>
      <c r="Y126" s="869"/>
      <c r="Z126" s="868"/>
      <c r="AA126" s="954"/>
      <c r="AB126" s="1137">
        <v>99339840</v>
      </c>
    </row>
    <row r="127" spans="1:28" s="877" customFormat="1" ht="21.75" customHeight="1">
      <c r="A127" s="870" t="s">
        <v>621</v>
      </c>
      <c r="B127" s="977" t="s">
        <v>618</v>
      </c>
      <c r="C127" s="875">
        <f>+C128+C129</f>
        <v>4401126040</v>
      </c>
      <c r="D127" s="872">
        <f>+D128+D129</f>
        <v>447126040</v>
      </c>
      <c r="E127" s="872">
        <f t="shared" ref="E127:AA127" si="128">+E128+E129</f>
        <v>2895101260</v>
      </c>
      <c r="F127" s="872">
        <f t="shared" si="128"/>
        <v>0</v>
      </c>
      <c r="G127" s="872">
        <f t="shared" si="128"/>
        <v>-2447975220</v>
      </c>
      <c r="H127" s="872">
        <f t="shared" si="128"/>
        <v>0</v>
      </c>
      <c r="I127" s="872">
        <f t="shared" si="128"/>
        <v>0</v>
      </c>
      <c r="J127" s="872">
        <f t="shared" si="128"/>
        <v>0</v>
      </c>
      <c r="K127" s="875">
        <f t="shared" si="75"/>
        <v>3954000000</v>
      </c>
      <c r="L127" s="872">
        <f t="shared" si="128"/>
        <v>0</v>
      </c>
      <c r="M127" s="872">
        <f t="shared" si="128"/>
        <v>3954000000</v>
      </c>
      <c r="N127" s="872">
        <f t="shared" si="128"/>
        <v>0</v>
      </c>
      <c r="O127" s="872">
        <f t="shared" si="128"/>
        <v>0</v>
      </c>
      <c r="P127" s="872">
        <f t="shared" si="128"/>
        <v>0</v>
      </c>
      <c r="Q127" s="872">
        <f t="shared" si="128"/>
        <v>0</v>
      </c>
      <c r="R127" s="872">
        <f t="shared" si="128"/>
        <v>0</v>
      </c>
      <c r="S127" s="872">
        <f t="shared" si="128"/>
        <v>4297581500</v>
      </c>
      <c r="T127" s="872">
        <f t="shared" si="128"/>
        <v>4297581500</v>
      </c>
      <c r="U127" s="872">
        <f t="shared" si="128"/>
        <v>0</v>
      </c>
      <c r="V127" s="872">
        <f t="shared" si="128"/>
        <v>0</v>
      </c>
      <c r="W127" s="872">
        <f t="shared" si="128"/>
        <v>103544540</v>
      </c>
      <c r="X127" s="872">
        <f t="shared" si="128"/>
        <v>103544540</v>
      </c>
      <c r="Y127" s="872">
        <f t="shared" si="128"/>
        <v>0</v>
      </c>
      <c r="Z127" s="872">
        <f t="shared" si="128"/>
        <v>0</v>
      </c>
      <c r="AA127" s="872">
        <f t="shared" si="128"/>
        <v>0</v>
      </c>
      <c r="AB127" s="1137"/>
    </row>
    <row r="128" spans="1:28" s="877" customFormat="1" ht="13.5" customHeight="1">
      <c r="A128" s="870" t="s">
        <v>115</v>
      </c>
      <c r="B128" s="950" t="s">
        <v>600</v>
      </c>
      <c r="C128" s="875">
        <f>+D128+K128</f>
        <v>4103126040</v>
      </c>
      <c r="D128" s="872">
        <f>SUM(E128:J128)</f>
        <v>447126040</v>
      </c>
      <c r="E128" s="872">
        <v>2786615260</v>
      </c>
      <c r="F128" s="872"/>
      <c r="G128" s="872">
        <v>-2339489220</v>
      </c>
      <c r="H128" s="872"/>
      <c r="I128" s="872"/>
      <c r="J128" s="872"/>
      <c r="K128" s="875">
        <f t="shared" si="75"/>
        <v>3656000000</v>
      </c>
      <c r="L128" s="873"/>
      <c r="M128" s="873">
        <v>3656000000</v>
      </c>
      <c r="N128" s="873"/>
      <c r="O128" s="873"/>
      <c r="P128" s="873"/>
      <c r="Q128" s="873"/>
      <c r="R128" s="952"/>
      <c r="S128" s="875">
        <f t="shared" si="119"/>
        <v>3999581500</v>
      </c>
      <c r="T128" s="953">
        <v>3999581500</v>
      </c>
      <c r="U128" s="953"/>
      <c r="V128" s="869"/>
      <c r="W128" s="875">
        <f>+C128-S128-V128</f>
        <v>103544540</v>
      </c>
      <c r="X128" s="869">
        <f>+W128</f>
        <v>103544540</v>
      </c>
      <c r="Y128" s="869"/>
      <c r="Z128" s="868"/>
      <c r="AA128" s="954"/>
      <c r="AB128" s="1138"/>
    </row>
    <row r="129" spans="1:27" s="877" customFormat="1" ht="13.5" customHeight="1">
      <c r="A129" s="870" t="s">
        <v>115</v>
      </c>
      <c r="B129" s="950" t="s">
        <v>609</v>
      </c>
      <c r="C129" s="875">
        <f>+D129+K129</f>
        <v>298000000</v>
      </c>
      <c r="D129" s="872">
        <f>SUM(E129:J129)</f>
        <v>0</v>
      </c>
      <c r="E129" s="872">
        <v>108486000</v>
      </c>
      <c r="F129" s="872"/>
      <c r="G129" s="872">
        <f>-E129</f>
        <v>-108486000</v>
      </c>
      <c r="H129" s="872"/>
      <c r="I129" s="872"/>
      <c r="J129" s="872"/>
      <c r="K129" s="875">
        <f t="shared" si="75"/>
        <v>298000000</v>
      </c>
      <c r="L129" s="873"/>
      <c r="M129" s="873">
        <v>298000000</v>
      </c>
      <c r="N129" s="873"/>
      <c r="O129" s="873"/>
      <c r="P129" s="873"/>
      <c r="Q129" s="873"/>
      <c r="R129" s="952"/>
      <c r="S129" s="875">
        <f t="shared" si="119"/>
        <v>298000000</v>
      </c>
      <c r="T129" s="953">
        <v>298000000</v>
      </c>
      <c r="U129" s="869"/>
      <c r="V129" s="869"/>
      <c r="W129" s="875">
        <f>+C129-S129-V129</f>
        <v>0</v>
      </c>
      <c r="X129" s="869"/>
      <c r="Y129" s="869"/>
      <c r="Z129" s="868"/>
      <c r="AA129" s="954"/>
    </row>
    <row r="130" spans="1:27" s="877" customFormat="1" ht="20.25" customHeight="1">
      <c r="A130" s="870" t="s">
        <v>689</v>
      </c>
      <c r="B130" s="977" t="s">
        <v>690</v>
      </c>
      <c r="C130" s="875">
        <f>+C131+C132</f>
        <v>2855000000</v>
      </c>
      <c r="D130" s="872">
        <f>+D131+D132</f>
        <v>0</v>
      </c>
      <c r="E130" s="872">
        <f t="shared" ref="E130:AA130" si="129">+E131+E132</f>
        <v>3400392297</v>
      </c>
      <c r="F130" s="872">
        <f t="shared" si="129"/>
        <v>0</v>
      </c>
      <c r="G130" s="872">
        <f t="shared" si="129"/>
        <v>-3400392297</v>
      </c>
      <c r="H130" s="872">
        <f t="shared" si="129"/>
        <v>0</v>
      </c>
      <c r="I130" s="872">
        <f t="shared" si="129"/>
        <v>0</v>
      </c>
      <c r="J130" s="872">
        <f t="shared" si="129"/>
        <v>0</v>
      </c>
      <c r="K130" s="875">
        <f t="shared" si="75"/>
        <v>2855000000</v>
      </c>
      <c r="L130" s="872">
        <f t="shared" si="129"/>
        <v>0</v>
      </c>
      <c r="M130" s="872">
        <f t="shared" si="129"/>
        <v>2855000000</v>
      </c>
      <c r="N130" s="872">
        <f t="shared" si="129"/>
        <v>0</v>
      </c>
      <c r="O130" s="872">
        <f t="shared" si="129"/>
        <v>0</v>
      </c>
      <c r="P130" s="872">
        <f t="shared" si="129"/>
        <v>0</v>
      </c>
      <c r="Q130" s="872">
        <f t="shared" si="129"/>
        <v>0</v>
      </c>
      <c r="R130" s="872">
        <f t="shared" si="129"/>
        <v>0</v>
      </c>
      <c r="S130" s="872">
        <f t="shared" si="129"/>
        <v>603591930</v>
      </c>
      <c r="T130" s="872">
        <f t="shared" si="129"/>
        <v>603591930</v>
      </c>
      <c r="U130" s="872">
        <f t="shared" si="129"/>
        <v>0</v>
      </c>
      <c r="V130" s="872">
        <f t="shared" si="129"/>
        <v>0</v>
      </c>
      <c r="W130" s="872">
        <f t="shared" si="129"/>
        <v>2251408070</v>
      </c>
      <c r="X130" s="872">
        <f t="shared" si="129"/>
        <v>2251408070</v>
      </c>
      <c r="Y130" s="872">
        <f t="shared" si="129"/>
        <v>0</v>
      </c>
      <c r="Z130" s="872">
        <f t="shared" si="129"/>
        <v>0</v>
      </c>
      <c r="AA130" s="872">
        <f t="shared" si="129"/>
        <v>0</v>
      </c>
    </row>
    <row r="131" spans="1:27" s="877" customFormat="1" ht="15" customHeight="1">
      <c r="A131" s="870" t="s">
        <v>115</v>
      </c>
      <c r="B131" s="950" t="s">
        <v>600</v>
      </c>
      <c r="C131" s="875">
        <f t="shared" ref="C131:C144" si="130">+D131+K131</f>
        <v>2855000000</v>
      </c>
      <c r="D131" s="872">
        <f>SUM(E131:J131)</f>
        <v>0</v>
      </c>
      <c r="E131" s="872">
        <v>3400392297</v>
      </c>
      <c r="F131" s="872"/>
      <c r="G131" s="872">
        <f>-E131</f>
        <v>-3400392297</v>
      </c>
      <c r="H131" s="872"/>
      <c r="I131" s="872"/>
      <c r="J131" s="872"/>
      <c r="K131" s="875">
        <f t="shared" si="75"/>
        <v>2855000000</v>
      </c>
      <c r="L131" s="873"/>
      <c r="M131" s="873">
        <v>2855000000</v>
      </c>
      <c r="N131" s="873"/>
      <c r="O131" s="873"/>
      <c r="P131" s="873"/>
      <c r="Q131" s="873"/>
      <c r="R131" s="952"/>
      <c r="S131" s="875">
        <f>SUM(T131:U131)</f>
        <v>603591930</v>
      </c>
      <c r="T131" s="953">
        <v>603591930</v>
      </c>
      <c r="U131" s="953"/>
      <c r="V131" s="869"/>
      <c r="W131" s="875">
        <f>+C131-S131-V131</f>
        <v>2251408070</v>
      </c>
      <c r="X131" s="869">
        <f>+W131</f>
        <v>2251408070</v>
      </c>
      <c r="Y131" s="869"/>
      <c r="Z131" s="868"/>
      <c r="AA131" s="954"/>
    </row>
    <row r="132" spans="1:27" s="877" customFormat="1" ht="15" customHeight="1">
      <c r="A132" s="870" t="s">
        <v>115</v>
      </c>
      <c r="B132" s="950" t="s">
        <v>609</v>
      </c>
      <c r="C132" s="875">
        <f t="shared" si="130"/>
        <v>0</v>
      </c>
      <c r="D132" s="872">
        <f>SUM(E132:J132)</f>
        <v>0</v>
      </c>
      <c r="E132" s="872">
        <v>0</v>
      </c>
      <c r="F132" s="872"/>
      <c r="G132" s="872"/>
      <c r="H132" s="872"/>
      <c r="I132" s="872"/>
      <c r="J132" s="872"/>
      <c r="K132" s="875">
        <f t="shared" si="75"/>
        <v>0</v>
      </c>
      <c r="L132" s="873"/>
      <c r="M132" s="873"/>
      <c r="N132" s="873"/>
      <c r="O132" s="873"/>
      <c r="P132" s="873"/>
      <c r="Q132" s="873"/>
      <c r="R132" s="952"/>
      <c r="S132" s="875">
        <f>SUM(T132:U132)</f>
        <v>0</v>
      </c>
      <c r="T132" s="953"/>
      <c r="U132" s="869"/>
      <c r="V132" s="869"/>
      <c r="W132" s="875">
        <f>+C132-S132-V132</f>
        <v>0</v>
      </c>
      <c r="X132" s="869">
        <v>0</v>
      </c>
      <c r="Y132" s="869"/>
      <c r="Z132" s="868"/>
      <c r="AA132" s="954"/>
    </row>
    <row r="133" spans="1:27" s="877" customFormat="1" ht="21.75" customHeight="1">
      <c r="A133" s="870" t="s">
        <v>51</v>
      </c>
      <c r="B133" s="871" t="s">
        <v>622</v>
      </c>
      <c r="C133" s="875">
        <f>+C134+C135</f>
        <v>1533200000</v>
      </c>
      <c r="D133" s="875">
        <f t="shared" ref="D133:AA133" si="131">+D134+D135</f>
        <v>991200000</v>
      </c>
      <c r="E133" s="875">
        <f t="shared" si="131"/>
        <v>2200000</v>
      </c>
      <c r="F133" s="875">
        <f t="shared" si="131"/>
        <v>0</v>
      </c>
      <c r="G133" s="875">
        <f t="shared" si="131"/>
        <v>989000000</v>
      </c>
      <c r="H133" s="875">
        <f t="shared" si="131"/>
        <v>0</v>
      </c>
      <c r="I133" s="875">
        <f t="shared" si="131"/>
        <v>0</v>
      </c>
      <c r="J133" s="875">
        <f t="shared" si="131"/>
        <v>0</v>
      </c>
      <c r="K133" s="875">
        <f t="shared" si="75"/>
        <v>542000000</v>
      </c>
      <c r="L133" s="875">
        <f t="shared" si="131"/>
        <v>0</v>
      </c>
      <c r="M133" s="875">
        <f t="shared" si="131"/>
        <v>542000000</v>
      </c>
      <c r="N133" s="875">
        <f t="shared" si="131"/>
        <v>0</v>
      </c>
      <c r="O133" s="875">
        <f t="shared" si="131"/>
        <v>0</v>
      </c>
      <c r="P133" s="875">
        <f t="shared" si="131"/>
        <v>0</v>
      </c>
      <c r="Q133" s="875">
        <f t="shared" si="131"/>
        <v>0</v>
      </c>
      <c r="R133" s="875">
        <f t="shared" si="131"/>
        <v>0</v>
      </c>
      <c r="S133" s="875">
        <f t="shared" si="131"/>
        <v>1526020000</v>
      </c>
      <c r="T133" s="875">
        <f t="shared" si="131"/>
        <v>1526020000</v>
      </c>
      <c r="U133" s="875">
        <f t="shared" si="131"/>
        <v>0</v>
      </c>
      <c r="V133" s="875">
        <f t="shared" si="131"/>
        <v>0</v>
      </c>
      <c r="W133" s="875">
        <f t="shared" si="131"/>
        <v>7180000</v>
      </c>
      <c r="X133" s="875">
        <f t="shared" si="131"/>
        <v>7180000</v>
      </c>
      <c r="Y133" s="875">
        <f t="shared" si="131"/>
        <v>0</v>
      </c>
      <c r="Z133" s="875">
        <f t="shared" si="131"/>
        <v>0</v>
      </c>
      <c r="AA133" s="875">
        <f t="shared" si="131"/>
        <v>0</v>
      </c>
    </row>
    <row r="134" spans="1:27" s="877" customFormat="1" ht="16.5" customHeight="1">
      <c r="A134" s="870" t="s">
        <v>115</v>
      </c>
      <c r="B134" s="950" t="s">
        <v>600</v>
      </c>
      <c r="C134" s="875">
        <f t="shared" si="130"/>
        <v>1507200000</v>
      </c>
      <c r="D134" s="872">
        <f>SUM(E134:J134)</f>
        <v>991200000</v>
      </c>
      <c r="E134" s="872">
        <v>2200000</v>
      </c>
      <c r="F134" s="872"/>
      <c r="G134" s="872">
        <v>989000000</v>
      </c>
      <c r="H134" s="872"/>
      <c r="I134" s="872"/>
      <c r="J134" s="872"/>
      <c r="K134" s="875">
        <f t="shared" si="75"/>
        <v>516000000</v>
      </c>
      <c r="L134" s="873"/>
      <c r="M134" s="873">
        <v>516000000</v>
      </c>
      <c r="N134" s="873"/>
      <c r="O134" s="873"/>
      <c r="P134" s="873"/>
      <c r="Q134" s="873"/>
      <c r="R134" s="952"/>
      <c r="S134" s="875">
        <f t="shared" si="119"/>
        <v>1500020000</v>
      </c>
      <c r="T134" s="953">
        <v>1500020000</v>
      </c>
      <c r="U134" s="953"/>
      <c r="V134" s="869"/>
      <c r="W134" s="875">
        <f>+C134-S134-V134</f>
        <v>7180000</v>
      </c>
      <c r="X134" s="869">
        <f>+W134</f>
        <v>7180000</v>
      </c>
      <c r="Y134" s="869"/>
      <c r="Z134" s="868"/>
      <c r="AA134" s="954"/>
    </row>
    <row r="135" spans="1:27" s="877" customFormat="1" ht="16.5" customHeight="1">
      <c r="A135" s="870" t="s">
        <v>115</v>
      </c>
      <c r="B135" s="950" t="s">
        <v>609</v>
      </c>
      <c r="C135" s="875">
        <f t="shared" si="130"/>
        <v>26000000</v>
      </c>
      <c r="D135" s="872">
        <f>SUM(E135:J135)</f>
        <v>0</v>
      </c>
      <c r="E135" s="872"/>
      <c r="F135" s="872"/>
      <c r="G135" s="872"/>
      <c r="H135" s="872"/>
      <c r="I135" s="872"/>
      <c r="J135" s="872"/>
      <c r="K135" s="875">
        <f t="shared" si="75"/>
        <v>26000000</v>
      </c>
      <c r="L135" s="873"/>
      <c r="M135" s="873">
        <v>26000000</v>
      </c>
      <c r="N135" s="873"/>
      <c r="O135" s="873"/>
      <c r="P135" s="873"/>
      <c r="Q135" s="873"/>
      <c r="R135" s="952"/>
      <c r="S135" s="875">
        <f t="shared" si="119"/>
        <v>26000000</v>
      </c>
      <c r="T135" s="953">
        <v>26000000</v>
      </c>
      <c r="U135" s="869"/>
      <c r="V135" s="869">
        <f>+I135</f>
        <v>0</v>
      </c>
      <c r="W135" s="875">
        <f>+C135-S135-V135</f>
        <v>0</v>
      </c>
      <c r="X135" s="869">
        <f>+W135</f>
        <v>0</v>
      </c>
      <c r="Y135" s="869"/>
      <c r="Z135" s="868"/>
      <c r="AA135" s="954"/>
    </row>
    <row r="136" spans="1:27" s="877" customFormat="1" ht="22.5" customHeight="1">
      <c r="A136" s="870" t="s">
        <v>52</v>
      </c>
      <c r="B136" s="871" t="s">
        <v>623</v>
      </c>
      <c r="C136" s="875">
        <f>SUM(C137:C138)</f>
        <v>0</v>
      </c>
      <c r="D136" s="875">
        <f t="shared" ref="D136:AA136" si="132">SUM(D137:D138)</f>
        <v>0</v>
      </c>
      <c r="E136" s="875">
        <f t="shared" si="132"/>
        <v>339500</v>
      </c>
      <c r="F136" s="875">
        <f t="shared" si="132"/>
        <v>0</v>
      </c>
      <c r="G136" s="875">
        <f t="shared" si="132"/>
        <v>-339500</v>
      </c>
      <c r="H136" s="875">
        <f t="shared" si="132"/>
        <v>0</v>
      </c>
      <c r="I136" s="875">
        <f t="shared" si="132"/>
        <v>0</v>
      </c>
      <c r="J136" s="875">
        <f t="shared" si="132"/>
        <v>0</v>
      </c>
      <c r="K136" s="875">
        <f t="shared" si="75"/>
        <v>0</v>
      </c>
      <c r="L136" s="875">
        <f t="shared" si="132"/>
        <v>0</v>
      </c>
      <c r="M136" s="875">
        <f t="shared" si="132"/>
        <v>0</v>
      </c>
      <c r="N136" s="875">
        <f t="shared" si="132"/>
        <v>0</v>
      </c>
      <c r="O136" s="875">
        <f t="shared" si="132"/>
        <v>0</v>
      </c>
      <c r="P136" s="875">
        <f t="shared" si="132"/>
        <v>0</v>
      </c>
      <c r="Q136" s="875">
        <f t="shared" si="132"/>
        <v>0</v>
      </c>
      <c r="R136" s="875">
        <f t="shared" si="132"/>
        <v>0</v>
      </c>
      <c r="S136" s="875">
        <f t="shared" ref="S136:X136" si="133">SUM(S137:S138)</f>
        <v>0</v>
      </c>
      <c r="T136" s="875">
        <f t="shared" si="133"/>
        <v>0</v>
      </c>
      <c r="U136" s="875">
        <f t="shared" si="133"/>
        <v>0</v>
      </c>
      <c r="V136" s="875">
        <f t="shared" si="133"/>
        <v>0</v>
      </c>
      <c r="W136" s="875">
        <f t="shared" si="133"/>
        <v>0</v>
      </c>
      <c r="X136" s="875">
        <f t="shared" si="133"/>
        <v>0</v>
      </c>
      <c r="Y136" s="875">
        <f t="shared" si="132"/>
        <v>0</v>
      </c>
      <c r="Z136" s="875">
        <f t="shared" si="132"/>
        <v>0</v>
      </c>
      <c r="AA136" s="875">
        <f t="shared" si="132"/>
        <v>0</v>
      </c>
    </row>
    <row r="137" spans="1:27" s="877" customFormat="1" ht="16.5" customHeight="1">
      <c r="A137" s="870" t="s">
        <v>115</v>
      </c>
      <c r="B137" s="871" t="s">
        <v>600</v>
      </c>
      <c r="C137" s="875">
        <f t="shared" si="130"/>
        <v>0</v>
      </c>
      <c r="D137" s="872">
        <f>SUM(E137:J137)</f>
        <v>0</v>
      </c>
      <c r="E137" s="872">
        <v>339500</v>
      </c>
      <c r="F137" s="872"/>
      <c r="G137" s="872">
        <f>+-E137</f>
        <v>-339500</v>
      </c>
      <c r="H137" s="872"/>
      <c r="I137" s="872"/>
      <c r="J137" s="872"/>
      <c r="K137" s="875">
        <f t="shared" si="75"/>
        <v>0</v>
      </c>
      <c r="L137" s="873"/>
      <c r="M137" s="873"/>
      <c r="N137" s="873"/>
      <c r="O137" s="873"/>
      <c r="P137" s="873"/>
      <c r="Q137" s="873"/>
      <c r="R137" s="952"/>
      <c r="S137" s="875">
        <f t="shared" si="119"/>
        <v>0</v>
      </c>
      <c r="T137" s="953"/>
      <c r="U137" s="953"/>
      <c r="V137" s="869"/>
      <c r="W137" s="875">
        <f>+C137-S137-V137</f>
        <v>0</v>
      </c>
      <c r="X137" s="869"/>
      <c r="Y137" s="869"/>
      <c r="Z137" s="868"/>
      <c r="AA137" s="954"/>
    </row>
    <row r="138" spans="1:27" s="877" customFormat="1" ht="16.5" customHeight="1">
      <c r="A138" s="870" t="s">
        <v>115</v>
      </c>
      <c r="B138" s="871" t="s">
        <v>609</v>
      </c>
      <c r="C138" s="875">
        <f t="shared" si="130"/>
        <v>0</v>
      </c>
      <c r="D138" s="872">
        <f>SUM(E138:J138)</f>
        <v>0</v>
      </c>
      <c r="E138" s="872">
        <v>0</v>
      </c>
      <c r="F138" s="872"/>
      <c r="G138" s="872"/>
      <c r="H138" s="872"/>
      <c r="I138" s="872">
        <v>0</v>
      </c>
      <c r="J138" s="872"/>
      <c r="K138" s="875">
        <f t="shared" si="75"/>
        <v>0</v>
      </c>
      <c r="L138" s="873"/>
      <c r="M138" s="873"/>
      <c r="N138" s="873"/>
      <c r="O138" s="873"/>
      <c r="P138" s="873"/>
      <c r="Q138" s="873"/>
      <c r="R138" s="952"/>
      <c r="S138" s="875">
        <f t="shared" si="119"/>
        <v>0</v>
      </c>
      <c r="T138" s="953">
        <f>+N138</f>
        <v>0</v>
      </c>
      <c r="U138" s="869"/>
      <c r="V138" s="869"/>
      <c r="W138" s="875">
        <f>+C138-S138-V138</f>
        <v>0</v>
      </c>
      <c r="X138" s="869">
        <v>0</v>
      </c>
      <c r="Y138" s="869">
        <f>+C138-S138</f>
        <v>0</v>
      </c>
      <c r="Z138" s="868"/>
      <c r="AA138" s="954"/>
    </row>
    <row r="139" spans="1:27" s="877" customFormat="1" ht="21" customHeight="1">
      <c r="A139" s="870" t="s">
        <v>53</v>
      </c>
      <c r="B139" s="871" t="s">
        <v>624</v>
      </c>
      <c r="C139" s="875">
        <f>+D139+K139</f>
        <v>4828796602</v>
      </c>
      <c r="D139" s="872">
        <f>SUM(D140:D141)</f>
        <v>537496602</v>
      </c>
      <c r="E139" s="872">
        <f t="shared" ref="E139:AA139" si="134">SUM(E140:E141)</f>
        <v>2705881672</v>
      </c>
      <c r="F139" s="872">
        <f t="shared" si="134"/>
        <v>840038036</v>
      </c>
      <c r="G139" s="872">
        <f t="shared" si="134"/>
        <v>-2705881672</v>
      </c>
      <c r="H139" s="872">
        <f t="shared" si="134"/>
        <v>-302541434</v>
      </c>
      <c r="I139" s="872">
        <f t="shared" si="134"/>
        <v>0</v>
      </c>
      <c r="J139" s="872">
        <f t="shared" si="134"/>
        <v>0</v>
      </c>
      <c r="K139" s="875">
        <f t="shared" si="75"/>
        <v>4291300000</v>
      </c>
      <c r="L139" s="872">
        <f t="shared" si="134"/>
        <v>0</v>
      </c>
      <c r="M139" s="872">
        <f t="shared" si="134"/>
        <v>4837000000</v>
      </c>
      <c r="N139" s="872">
        <f t="shared" si="134"/>
        <v>0</v>
      </c>
      <c r="O139" s="872">
        <f t="shared" si="134"/>
        <v>0</v>
      </c>
      <c r="P139" s="872">
        <f t="shared" si="134"/>
        <v>0</v>
      </c>
      <c r="Q139" s="872">
        <f t="shared" si="134"/>
        <v>545700000</v>
      </c>
      <c r="R139" s="872">
        <f t="shared" si="134"/>
        <v>0</v>
      </c>
      <c r="S139" s="872">
        <f t="shared" si="134"/>
        <v>3956510117</v>
      </c>
      <c r="T139" s="872">
        <f t="shared" si="134"/>
        <v>1366096381</v>
      </c>
      <c r="U139" s="872">
        <f t="shared" si="134"/>
        <v>2590413736</v>
      </c>
      <c r="V139" s="872">
        <f t="shared" si="134"/>
        <v>0</v>
      </c>
      <c r="W139" s="872">
        <f>SUM(W140:W141)</f>
        <v>872286485</v>
      </c>
      <c r="X139" s="872">
        <f t="shared" si="134"/>
        <v>637903619</v>
      </c>
      <c r="Y139" s="872">
        <f t="shared" si="134"/>
        <v>0</v>
      </c>
      <c r="Z139" s="872">
        <f>SUM(Z140:Z141)</f>
        <v>234382866</v>
      </c>
      <c r="AA139" s="872">
        <f t="shared" si="134"/>
        <v>0</v>
      </c>
    </row>
    <row r="140" spans="1:27" s="877" customFormat="1" ht="14.25" customHeight="1">
      <c r="A140" s="870" t="s">
        <v>115</v>
      </c>
      <c r="B140" s="950" t="s">
        <v>600</v>
      </c>
      <c r="C140" s="875">
        <f>+D140+K140</f>
        <v>4560040762</v>
      </c>
      <c r="D140" s="872">
        <f>SUM(E140:J140)</f>
        <v>495140762</v>
      </c>
      <c r="E140" s="872">
        <v>2680005872</v>
      </c>
      <c r="F140" s="872">
        <v>810633296</v>
      </c>
      <c r="G140" s="872">
        <f>-2705881672</f>
        <v>-2705881672</v>
      </c>
      <c r="H140" s="872">
        <v>-289616734</v>
      </c>
      <c r="I140" s="872"/>
      <c r="J140" s="872"/>
      <c r="K140" s="875">
        <f t="shared" si="75"/>
        <v>4064900000</v>
      </c>
      <c r="L140" s="873"/>
      <c r="M140" s="873">
        <v>4607000000</v>
      </c>
      <c r="N140" s="873"/>
      <c r="O140" s="873"/>
      <c r="P140" s="873"/>
      <c r="Q140" s="873">
        <v>542100000</v>
      </c>
      <c r="R140" s="952"/>
      <c r="S140" s="875">
        <f>SUM(T140:U140)</f>
        <v>3743637235</v>
      </c>
      <c r="T140" s="953">
        <v>1280536899</v>
      </c>
      <c r="U140" s="953">
        <v>2463100336</v>
      </c>
      <c r="V140" s="869"/>
      <c r="W140" s="875">
        <f>+C140-S140-V140</f>
        <v>816403527</v>
      </c>
      <c r="X140" s="869">
        <v>582587301</v>
      </c>
      <c r="Y140" s="869"/>
      <c r="Z140" s="868">
        <f>+W140-X140</f>
        <v>233816226</v>
      </c>
      <c r="AA140" s="875"/>
    </row>
    <row r="141" spans="1:27" s="877" customFormat="1" ht="14.25" customHeight="1">
      <c r="A141" s="870" t="s">
        <v>115</v>
      </c>
      <c r="B141" s="950" t="s">
        <v>609</v>
      </c>
      <c r="C141" s="875">
        <f>+D141+K141</f>
        <v>268755840</v>
      </c>
      <c r="D141" s="872">
        <f>SUM(E141:J141)</f>
        <v>42355840</v>
      </c>
      <c r="E141" s="872">
        <v>25875800</v>
      </c>
      <c r="F141" s="872">
        <v>29404740</v>
      </c>
      <c r="G141" s="872"/>
      <c r="H141" s="872">
        <v>-12924700</v>
      </c>
      <c r="I141" s="872"/>
      <c r="J141" s="872"/>
      <c r="K141" s="875">
        <f t="shared" si="75"/>
        <v>226400000</v>
      </c>
      <c r="L141" s="873"/>
      <c r="M141" s="873">
        <v>230000000</v>
      </c>
      <c r="N141" s="873"/>
      <c r="O141" s="873"/>
      <c r="P141" s="873"/>
      <c r="Q141" s="873">
        <v>3600000</v>
      </c>
      <c r="R141" s="952"/>
      <c r="S141" s="875">
        <f t="shared" si="119"/>
        <v>212872882</v>
      </c>
      <c r="T141" s="953">
        <v>85559482</v>
      </c>
      <c r="U141" s="869">
        <v>127313400</v>
      </c>
      <c r="V141" s="869"/>
      <c r="W141" s="875">
        <f>+C141-S141-V141</f>
        <v>55882958</v>
      </c>
      <c r="X141" s="869">
        <v>55316318</v>
      </c>
      <c r="Y141" s="869"/>
      <c r="Z141" s="868">
        <f>+W141-X141</f>
        <v>566640</v>
      </c>
      <c r="AA141" s="875"/>
    </row>
    <row r="142" spans="1:27" s="877" customFormat="1" ht="21.75" customHeight="1">
      <c r="A142" s="870" t="s">
        <v>54</v>
      </c>
      <c r="B142" s="871" t="s">
        <v>625</v>
      </c>
      <c r="C142" s="875">
        <f>+D142+K142</f>
        <v>678717440</v>
      </c>
      <c r="D142" s="872">
        <f>SUM(D143:D144)</f>
        <v>208717440</v>
      </c>
      <c r="E142" s="872">
        <f t="shared" ref="E142:AA142" si="135">SUM(E143:E144)</f>
        <v>302935826</v>
      </c>
      <c r="F142" s="872">
        <f t="shared" si="135"/>
        <v>0</v>
      </c>
      <c r="G142" s="872">
        <f t="shared" si="135"/>
        <v>-180000000</v>
      </c>
      <c r="H142" s="872">
        <f t="shared" si="135"/>
        <v>85781614</v>
      </c>
      <c r="I142" s="872">
        <f t="shared" si="135"/>
        <v>0</v>
      </c>
      <c r="J142" s="872">
        <f t="shared" si="135"/>
        <v>0</v>
      </c>
      <c r="K142" s="875">
        <f t="shared" si="75"/>
        <v>470000000</v>
      </c>
      <c r="L142" s="872">
        <f t="shared" si="135"/>
        <v>0</v>
      </c>
      <c r="M142" s="872">
        <f t="shared" si="135"/>
        <v>470000000</v>
      </c>
      <c r="N142" s="872">
        <f t="shared" si="135"/>
        <v>0</v>
      </c>
      <c r="O142" s="872">
        <f t="shared" si="135"/>
        <v>0</v>
      </c>
      <c r="P142" s="872">
        <f t="shared" si="135"/>
        <v>0</v>
      </c>
      <c r="Q142" s="872">
        <f t="shared" si="135"/>
        <v>0</v>
      </c>
      <c r="R142" s="872">
        <f t="shared" si="135"/>
        <v>0</v>
      </c>
      <c r="S142" s="872">
        <f t="shared" si="135"/>
        <v>268975594</v>
      </c>
      <c r="T142" s="872">
        <f>SUM(T143:T144)</f>
        <v>163856784</v>
      </c>
      <c r="U142" s="872">
        <f t="shared" si="135"/>
        <v>105118810</v>
      </c>
      <c r="V142" s="872">
        <f t="shared" si="135"/>
        <v>0</v>
      </c>
      <c r="W142" s="872">
        <f t="shared" si="135"/>
        <v>409741846</v>
      </c>
      <c r="X142" s="872">
        <f t="shared" si="135"/>
        <v>370079042</v>
      </c>
      <c r="Y142" s="872">
        <f t="shared" si="135"/>
        <v>0</v>
      </c>
      <c r="Z142" s="872">
        <f t="shared" si="135"/>
        <v>39662804</v>
      </c>
      <c r="AA142" s="872">
        <f t="shared" si="135"/>
        <v>0</v>
      </c>
    </row>
    <row r="143" spans="1:27" s="877" customFormat="1" ht="16.5" customHeight="1">
      <c r="A143" s="870" t="s">
        <v>115</v>
      </c>
      <c r="B143" s="950" t="s">
        <v>600</v>
      </c>
      <c r="C143" s="875">
        <f>+D143+K143</f>
        <v>632963440</v>
      </c>
      <c r="D143" s="872">
        <f>SUM(E143:J143)</f>
        <v>184963440</v>
      </c>
      <c r="E143" s="872">
        <v>269935826</v>
      </c>
      <c r="F143" s="872"/>
      <c r="G143" s="872">
        <v>-170500000</v>
      </c>
      <c r="H143" s="872">
        <v>85527614</v>
      </c>
      <c r="I143" s="872"/>
      <c r="J143" s="872"/>
      <c r="K143" s="875">
        <f t="shared" ref="K143:K205" si="136">+L143+M143+N143+O143+P143-Q143-R143</f>
        <v>448000000</v>
      </c>
      <c r="L143" s="873"/>
      <c r="M143" s="873">
        <v>448000000</v>
      </c>
      <c r="N143" s="873"/>
      <c r="O143" s="873"/>
      <c r="P143" s="873"/>
      <c r="Q143" s="873"/>
      <c r="R143" s="952"/>
      <c r="S143" s="875">
        <f t="shared" si="119"/>
        <v>258952794</v>
      </c>
      <c r="T143" s="953">
        <f>45000000+111886784</f>
        <v>156886784</v>
      </c>
      <c r="U143" s="953">
        <f>147066010-45000000</f>
        <v>102066010</v>
      </c>
      <c r="V143" s="869"/>
      <c r="W143" s="875">
        <f>+C143-S143-V143</f>
        <v>374010646</v>
      </c>
      <c r="X143" s="869">
        <v>334549042</v>
      </c>
      <c r="Y143" s="869"/>
      <c r="Z143" s="868">
        <f>+W143-X143</f>
        <v>39461604</v>
      </c>
      <c r="AA143" s="954"/>
    </row>
    <row r="144" spans="1:27" s="877" customFormat="1" ht="16.5" customHeight="1">
      <c r="A144" s="870" t="s">
        <v>115</v>
      </c>
      <c r="B144" s="950" t="s">
        <v>609</v>
      </c>
      <c r="C144" s="875">
        <f t="shared" si="130"/>
        <v>45754000</v>
      </c>
      <c r="D144" s="872">
        <f>SUM(E144:J144)</f>
        <v>23754000</v>
      </c>
      <c r="E144" s="872">
        <v>33000000</v>
      </c>
      <c r="F144" s="872"/>
      <c r="G144" s="872">
        <v>-9500000</v>
      </c>
      <c r="H144" s="872">
        <v>254000</v>
      </c>
      <c r="I144" s="872"/>
      <c r="J144" s="872"/>
      <c r="K144" s="875">
        <f t="shared" si="136"/>
        <v>22000000</v>
      </c>
      <c r="L144" s="873"/>
      <c r="M144" s="873">
        <v>22000000</v>
      </c>
      <c r="N144" s="873"/>
      <c r="O144" s="873"/>
      <c r="P144" s="873"/>
      <c r="Q144" s="873"/>
      <c r="R144" s="952"/>
      <c r="S144" s="875">
        <f t="shared" si="119"/>
        <v>10022800</v>
      </c>
      <c r="T144" s="953">
        <f>2000000+4970000</f>
        <v>6970000</v>
      </c>
      <c r="U144" s="869">
        <f>5052800-2000000</f>
        <v>3052800</v>
      </c>
      <c r="V144" s="869"/>
      <c r="W144" s="875">
        <f>+C144-S144-V144</f>
        <v>35731200</v>
      </c>
      <c r="X144" s="869">
        <v>35530000</v>
      </c>
      <c r="Y144" s="869"/>
      <c r="Z144" s="868">
        <f>+W144-X144</f>
        <v>201200</v>
      </c>
      <c r="AA144" s="954"/>
    </row>
    <row r="145" spans="1:27" s="877" customFormat="1" ht="28.5" customHeight="1">
      <c r="A145" s="870" t="s">
        <v>55</v>
      </c>
      <c r="B145" s="871" t="s">
        <v>626</v>
      </c>
      <c r="C145" s="875">
        <f>+C146+C149+C152</f>
        <v>830187000</v>
      </c>
      <c r="D145" s="875">
        <f t="shared" ref="D145:R145" si="137">+D146+D149+D152</f>
        <v>105187000</v>
      </c>
      <c r="E145" s="875">
        <f t="shared" si="137"/>
        <v>1228693380</v>
      </c>
      <c r="F145" s="875">
        <f t="shared" si="137"/>
        <v>109642000</v>
      </c>
      <c r="G145" s="875">
        <f t="shared" si="137"/>
        <v>-1208693380</v>
      </c>
      <c r="H145" s="875">
        <f t="shared" si="137"/>
        <v>-28420000</v>
      </c>
      <c r="I145" s="875">
        <f t="shared" si="137"/>
        <v>3965000</v>
      </c>
      <c r="J145" s="875">
        <f t="shared" si="137"/>
        <v>0</v>
      </c>
      <c r="K145" s="875">
        <f t="shared" si="137"/>
        <v>725000000</v>
      </c>
      <c r="L145" s="875">
        <f t="shared" si="137"/>
        <v>0</v>
      </c>
      <c r="M145" s="875">
        <f t="shared" si="137"/>
        <v>1055000000</v>
      </c>
      <c r="N145" s="875">
        <f t="shared" si="137"/>
        <v>0</v>
      </c>
      <c r="O145" s="875">
        <f t="shared" si="137"/>
        <v>0</v>
      </c>
      <c r="P145" s="875">
        <f t="shared" si="137"/>
        <v>0</v>
      </c>
      <c r="Q145" s="875">
        <f t="shared" si="137"/>
        <v>330000000</v>
      </c>
      <c r="R145" s="875">
        <f t="shared" si="137"/>
        <v>0</v>
      </c>
      <c r="S145" s="875">
        <f t="shared" si="119"/>
        <v>669538411</v>
      </c>
      <c r="T145" s="875">
        <f t="shared" ref="T145:V145" si="138">+T146+T149+T152</f>
        <v>558541011</v>
      </c>
      <c r="U145" s="875">
        <f t="shared" si="138"/>
        <v>110997400</v>
      </c>
      <c r="V145" s="875">
        <f t="shared" si="138"/>
        <v>0</v>
      </c>
      <c r="W145" s="875">
        <f>+C145-S145-V145</f>
        <v>160648589</v>
      </c>
      <c r="X145" s="875">
        <f>+X146+X149+X152</f>
        <v>118323989</v>
      </c>
      <c r="Y145" s="875">
        <f t="shared" ref="Y145:Z145" si="139">+Y146+Y149+Y152</f>
        <v>0</v>
      </c>
      <c r="Z145" s="875">
        <f t="shared" si="139"/>
        <v>42324600</v>
      </c>
      <c r="AA145" s="875">
        <v>0</v>
      </c>
    </row>
    <row r="146" spans="1:27" s="877" customFormat="1" ht="51.75" customHeight="1">
      <c r="A146" s="870" t="s">
        <v>628</v>
      </c>
      <c r="B146" s="977" t="s">
        <v>627</v>
      </c>
      <c r="C146" s="875">
        <f>SUM(C147:C148)</f>
        <v>460000000</v>
      </c>
      <c r="D146" s="872">
        <f>SUM(D147:D148)</f>
        <v>0</v>
      </c>
      <c r="E146" s="872">
        <f t="shared" ref="E146:AA146" si="140">SUM(E147:E148)</f>
        <v>842064000</v>
      </c>
      <c r="F146" s="872">
        <f t="shared" si="140"/>
        <v>0</v>
      </c>
      <c r="G146" s="872">
        <f t="shared" si="140"/>
        <v>-842064000</v>
      </c>
      <c r="H146" s="872">
        <f t="shared" si="140"/>
        <v>0</v>
      </c>
      <c r="I146" s="872">
        <f t="shared" si="140"/>
        <v>0</v>
      </c>
      <c r="J146" s="872">
        <f t="shared" si="140"/>
        <v>0</v>
      </c>
      <c r="K146" s="875">
        <f t="shared" si="136"/>
        <v>460000000</v>
      </c>
      <c r="L146" s="872">
        <f t="shared" si="140"/>
        <v>0</v>
      </c>
      <c r="M146" s="872">
        <f t="shared" si="140"/>
        <v>706000000</v>
      </c>
      <c r="N146" s="872">
        <f t="shared" si="140"/>
        <v>0</v>
      </c>
      <c r="O146" s="872">
        <f t="shared" si="140"/>
        <v>0</v>
      </c>
      <c r="P146" s="872">
        <f t="shared" si="140"/>
        <v>0</v>
      </c>
      <c r="Q146" s="872">
        <f t="shared" si="140"/>
        <v>246000000</v>
      </c>
      <c r="R146" s="872">
        <f t="shared" si="140"/>
        <v>0</v>
      </c>
      <c r="S146" s="872">
        <f t="shared" si="140"/>
        <v>368991711</v>
      </c>
      <c r="T146" s="872">
        <f t="shared" si="140"/>
        <v>368991711</v>
      </c>
      <c r="U146" s="872">
        <f t="shared" si="140"/>
        <v>0</v>
      </c>
      <c r="V146" s="872">
        <f t="shared" si="140"/>
        <v>0</v>
      </c>
      <c r="W146" s="872">
        <f t="shared" si="140"/>
        <v>91008289</v>
      </c>
      <c r="X146" s="872">
        <f t="shared" si="140"/>
        <v>91008289</v>
      </c>
      <c r="Y146" s="872">
        <f t="shared" si="140"/>
        <v>0</v>
      </c>
      <c r="Z146" s="872">
        <f t="shared" si="140"/>
        <v>0</v>
      </c>
      <c r="AA146" s="872">
        <f t="shared" si="140"/>
        <v>0</v>
      </c>
    </row>
    <row r="147" spans="1:27" s="877" customFormat="1" ht="15" customHeight="1">
      <c r="A147" s="870" t="s">
        <v>115</v>
      </c>
      <c r="B147" s="950" t="s">
        <v>600</v>
      </c>
      <c r="C147" s="875">
        <f>+D147+K147</f>
        <v>453000000</v>
      </c>
      <c r="D147" s="872">
        <f>SUM(E147:J147)</f>
        <v>0</v>
      </c>
      <c r="E147" s="872">
        <v>827753000</v>
      </c>
      <c r="F147" s="872"/>
      <c r="G147" s="872">
        <f>-E147</f>
        <v>-827753000</v>
      </c>
      <c r="H147" s="872"/>
      <c r="I147" s="872"/>
      <c r="J147" s="872"/>
      <c r="K147" s="875">
        <f t="shared" si="136"/>
        <v>453000000</v>
      </c>
      <c r="L147" s="873"/>
      <c r="M147" s="873">
        <v>668000000</v>
      </c>
      <c r="N147" s="873"/>
      <c r="O147" s="873"/>
      <c r="P147" s="873"/>
      <c r="Q147" s="873">
        <v>215000000</v>
      </c>
      <c r="R147" s="952"/>
      <c r="S147" s="875">
        <f t="shared" si="119"/>
        <v>361991711</v>
      </c>
      <c r="T147" s="953">
        <v>361991711</v>
      </c>
      <c r="U147" s="953"/>
      <c r="V147" s="869"/>
      <c r="W147" s="875">
        <f>+C147-S147-V147</f>
        <v>91008289</v>
      </c>
      <c r="X147" s="869">
        <f>+W147</f>
        <v>91008289</v>
      </c>
      <c r="Y147" s="869"/>
      <c r="Z147" s="868"/>
      <c r="AA147" s="954"/>
    </row>
    <row r="148" spans="1:27" s="877" customFormat="1" ht="15" customHeight="1">
      <c r="A148" s="870" t="s">
        <v>115</v>
      </c>
      <c r="B148" s="950" t="s">
        <v>609</v>
      </c>
      <c r="C148" s="875">
        <f>+D148+K148</f>
        <v>7000000</v>
      </c>
      <c r="D148" s="872">
        <f>SUM(E148:J148)</f>
        <v>0</v>
      </c>
      <c r="E148" s="872">
        <v>14311000</v>
      </c>
      <c r="F148" s="872"/>
      <c r="G148" s="872">
        <f>-E148</f>
        <v>-14311000</v>
      </c>
      <c r="H148" s="872"/>
      <c r="I148" s="872"/>
      <c r="J148" s="872"/>
      <c r="K148" s="875">
        <f t="shared" si="136"/>
        <v>7000000</v>
      </c>
      <c r="L148" s="873"/>
      <c r="M148" s="873">
        <v>38000000</v>
      </c>
      <c r="N148" s="873"/>
      <c r="O148" s="873"/>
      <c r="P148" s="873"/>
      <c r="Q148" s="873">
        <v>31000000</v>
      </c>
      <c r="R148" s="952"/>
      <c r="S148" s="875">
        <f t="shared" si="119"/>
        <v>7000000</v>
      </c>
      <c r="T148" s="953">
        <v>7000000</v>
      </c>
      <c r="U148" s="869"/>
      <c r="V148" s="869"/>
      <c r="W148" s="875">
        <f>+C148-S148-V148</f>
        <v>0</v>
      </c>
      <c r="X148" s="869">
        <f>+W148</f>
        <v>0</v>
      </c>
      <c r="Y148" s="869"/>
      <c r="Z148" s="868"/>
      <c r="AA148" s="954"/>
    </row>
    <row r="149" spans="1:27" s="877" customFormat="1" ht="29.25" customHeight="1">
      <c r="A149" s="870" t="s">
        <v>630</v>
      </c>
      <c r="B149" s="977" t="s">
        <v>629</v>
      </c>
      <c r="C149" s="872">
        <f>C150+C151</f>
        <v>92000000</v>
      </c>
      <c r="D149" s="872">
        <f>D150+D151</f>
        <v>0</v>
      </c>
      <c r="E149" s="872">
        <f>E150+E151</f>
        <v>189000000</v>
      </c>
      <c r="F149" s="872">
        <f t="shared" ref="F149:AA149" si="141">F150+F151</f>
        <v>0</v>
      </c>
      <c r="G149" s="872">
        <f t="shared" si="141"/>
        <v>-189000000</v>
      </c>
      <c r="H149" s="872">
        <f t="shared" si="141"/>
        <v>0</v>
      </c>
      <c r="I149" s="872">
        <f t="shared" si="141"/>
        <v>0</v>
      </c>
      <c r="J149" s="872">
        <f t="shared" si="141"/>
        <v>0</v>
      </c>
      <c r="K149" s="875">
        <f t="shared" si="136"/>
        <v>92000000</v>
      </c>
      <c r="L149" s="872">
        <f t="shared" si="141"/>
        <v>0</v>
      </c>
      <c r="M149" s="872">
        <f t="shared" si="141"/>
        <v>92000000</v>
      </c>
      <c r="N149" s="872">
        <f t="shared" si="141"/>
        <v>0</v>
      </c>
      <c r="O149" s="872">
        <f t="shared" si="141"/>
        <v>0</v>
      </c>
      <c r="P149" s="872">
        <f t="shared" si="141"/>
        <v>0</v>
      </c>
      <c r="Q149" s="872">
        <f t="shared" si="141"/>
        <v>0</v>
      </c>
      <c r="R149" s="872">
        <f t="shared" si="141"/>
        <v>0</v>
      </c>
      <c r="S149" s="872">
        <f t="shared" si="141"/>
        <v>80096000</v>
      </c>
      <c r="T149" s="872">
        <f t="shared" si="141"/>
        <v>80096000</v>
      </c>
      <c r="U149" s="872">
        <f t="shared" si="141"/>
        <v>0</v>
      </c>
      <c r="V149" s="872">
        <f t="shared" si="141"/>
        <v>0</v>
      </c>
      <c r="W149" s="872">
        <f t="shared" si="141"/>
        <v>11904000</v>
      </c>
      <c r="X149" s="872">
        <f t="shared" si="141"/>
        <v>11904000</v>
      </c>
      <c r="Y149" s="872">
        <f t="shared" si="141"/>
        <v>0</v>
      </c>
      <c r="Z149" s="872">
        <f t="shared" si="141"/>
        <v>0</v>
      </c>
      <c r="AA149" s="872">
        <f t="shared" si="141"/>
        <v>0</v>
      </c>
    </row>
    <row r="150" spans="1:27" s="877" customFormat="1" ht="16.5" customHeight="1">
      <c r="A150" s="870" t="s">
        <v>115</v>
      </c>
      <c r="B150" s="950" t="s">
        <v>600</v>
      </c>
      <c r="C150" s="875">
        <f>+D150+K150</f>
        <v>92000000</v>
      </c>
      <c r="D150" s="872">
        <f>SUM(E150:J150)</f>
        <v>0</v>
      </c>
      <c r="E150" s="872">
        <v>189000000</v>
      </c>
      <c r="F150" s="872"/>
      <c r="G150" s="872">
        <f>-E150</f>
        <v>-189000000</v>
      </c>
      <c r="H150" s="872"/>
      <c r="I150" s="872"/>
      <c r="J150" s="872"/>
      <c r="K150" s="875">
        <f t="shared" si="136"/>
        <v>92000000</v>
      </c>
      <c r="L150" s="873"/>
      <c r="M150" s="873">
        <v>92000000</v>
      </c>
      <c r="N150" s="873"/>
      <c r="O150" s="873"/>
      <c r="P150" s="873"/>
      <c r="Q150" s="873"/>
      <c r="R150" s="952"/>
      <c r="S150" s="875">
        <f t="shared" si="119"/>
        <v>80096000</v>
      </c>
      <c r="T150" s="953">
        <v>80096000</v>
      </c>
      <c r="U150" s="953"/>
      <c r="V150" s="869"/>
      <c r="W150" s="875">
        <f>+C150-S150-V150</f>
        <v>11904000</v>
      </c>
      <c r="X150" s="869">
        <f>W150</f>
        <v>11904000</v>
      </c>
      <c r="Y150" s="869"/>
      <c r="Z150" s="868"/>
      <c r="AA150" s="954"/>
    </row>
    <row r="151" spans="1:27" s="877" customFormat="1" ht="16.5" customHeight="1">
      <c r="A151" s="870" t="s">
        <v>115</v>
      </c>
      <c r="B151" s="950" t="s">
        <v>609</v>
      </c>
      <c r="C151" s="875">
        <f>+D151+K151</f>
        <v>0</v>
      </c>
      <c r="D151" s="872">
        <f>SUM(E151:J151)</f>
        <v>0</v>
      </c>
      <c r="E151" s="872">
        <v>0</v>
      </c>
      <c r="F151" s="872"/>
      <c r="G151" s="872"/>
      <c r="H151" s="872"/>
      <c r="I151" s="872"/>
      <c r="J151" s="872"/>
      <c r="K151" s="875">
        <f t="shared" si="136"/>
        <v>0</v>
      </c>
      <c r="L151" s="873"/>
      <c r="M151" s="873"/>
      <c r="N151" s="873"/>
      <c r="O151" s="873"/>
      <c r="P151" s="873"/>
      <c r="Q151" s="873"/>
      <c r="R151" s="952"/>
      <c r="S151" s="875">
        <f t="shared" si="119"/>
        <v>0</v>
      </c>
      <c r="T151" s="953"/>
      <c r="U151" s="869"/>
      <c r="V151" s="869"/>
      <c r="W151" s="875">
        <f>+C151-S151-V151</f>
        <v>0</v>
      </c>
      <c r="X151" s="869">
        <v>0</v>
      </c>
      <c r="Y151" s="869"/>
      <c r="Z151" s="868"/>
      <c r="AA151" s="954"/>
    </row>
    <row r="152" spans="1:27" s="877" customFormat="1" ht="21" customHeight="1">
      <c r="A152" s="870" t="s">
        <v>631</v>
      </c>
      <c r="B152" s="977" t="s">
        <v>632</v>
      </c>
      <c r="C152" s="875">
        <f>SUM(C153:C154)</f>
        <v>278187000</v>
      </c>
      <c r="D152" s="872">
        <f>SUM(D153:D154)</f>
        <v>105187000</v>
      </c>
      <c r="E152" s="872">
        <f t="shared" ref="E152:AA152" si="142">SUM(E153:E154)</f>
        <v>197629380</v>
      </c>
      <c r="F152" s="872">
        <f t="shared" si="142"/>
        <v>109642000</v>
      </c>
      <c r="G152" s="872">
        <f t="shared" si="142"/>
        <v>-177629380</v>
      </c>
      <c r="H152" s="872">
        <f t="shared" si="142"/>
        <v>-28420000</v>
      </c>
      <c r="I152" s="872">
        <f t="shared" si="142"/>
        <v>3965000</v>
      </c>
      <c r="J152" s="872">
        <f t="shared" si="142"/>
        <v>0</v>
      </c>
      <c r="K152" s="875">
        <f t="shared" si="136"/>
        <v>173000000</v>
      </c>
      <c r="L152" s="872">
        <f t="shared" si="142"/>
        <v>0</v>
      </c>
      <c r="M152" s="872">
        <f t="shared" si="142"/>
        <v>257000000</v>
      </c>
      <c r="N152" s="872">
        <f t="shared" si="142"/>
        <v>0</v>
      </c>
      <c r="O152" s="872">
        <f t="shared" si="142"/>
        <v>0</v>
      </c>
      <c r="P152" s="872">
        <f t="shared" si="142"/>
        <v>0</v>
      </c>
      <c r="Q152" s="872">
        <f t="shared" si="142"/>
        <v>84000000</v>
      </c>
      <c r="R152" s="872">
        <f t="shared" si="142"/>
        <v>0</v>
      </c>
      <c r="S152" s="872">
        <f t="shared" si="142"/>
        <v>220450700</v>
      </c>
      <c r="T152" s="872">
        <f t="shared" si="142"/>
        <v>109453300</v>
      </c>
      <c r="U152" s="872">
        <f t="shared" si="142"/>
        <v>110997400</v>
      </c>
      <c r="V152" s="872">
        <f t="shared" si="142"/>
        <v>0</v>
      </c>
      <c r="W152" s="872">
        <f t="shared" si="142"/>
        <v>57736300</v>
      </c>
      <c r="X152" s="872">
        <f>SUM(X153:X154)</f>
        <v>15411700</v>
      </c>
      <c r="Y152" s="872">
        <f t="shared" si="142"/>
        <v>0</v>
      </c>
      <c r="Z152" s="872">
        <f t="shared" si="142"/>
        <v>42324600</v>
      </c>
      <c r="AA152" s="872">
        <f t="shared" si="142"/>
        <v>0</v>
      </c>
    </row>
    <row r="153" spans="1:27" s="877" customFormat="1" ht="16.5" customHeight="1">
      <c r="A153" s="870" t="s">
        <v>115</v>
      </c>
      <c r="B153" s="871" t="s">
        <v>600</v>
      </c>
      <c r="C153" s="875">
        <f>+D153+K153</f>
        <v>263206400</v>
      </c>
      <c r="D153" s="872">
        <f t="shared" ref="D153:D198" si="143">SUM(E153:J153)</f>
        <v>100206400</v>
      </c>
      <c r="E153" s="872">
        <v>187715880</v>
      </c>
      <c r="F153" s="872">
        <v>103361400</v>
      </c>
      <c r="G153" s="872">
        <v>-167715880</v>
      </c>
      <c r="H153" s="872">
        <v>-26620000</v>
      </c>
      <c r="I153" s="872">
        <v>3465000</v>
      </c>
      <c r="J153" s="872"/>
      <c r="K153" s="875">
        <f t="shared" si="136"/>
        <v>163000000</v>
      </c>
      <c r="L153" s="873"/>
      <c r="M153" s="873">
        <v>243000000</v>
      </c>
      <c r="N153" s="873"/>
      <c r="O153" s="873"/>
      <c r="P153" s="873"/>
      <c r="Q153" s="873">
        <v>80000000</v>
      </c>
      <c r="R153" s="952"/>
      <c r="S153" s="875">
        <f>SUM(T153:U153)</f>
        <v>209230100</v>
      </c>
      <c r="T153" s="953">
        <v>102853300</v>
      </c>
      <c r="U153" s="953">
        <v>106376800</v>
      </c>
      <c r="V153" s="869"/>
      <c r="W153" s="875">
        <f t="shared" ref="W153:W159" si="144">+C153-S153-V153</f>
        <v>53976300</v>
      </c>
      <c r="X153" s="869">
        <f>3465000+10946700</f>
        <v>14411700</v>
      </c>
      <c r="Y153" s="869"/>
      <c r="Z153" s="868">
        <f>W153-X153</f>
        <v>39564600</v>
      </c>
      <c r="AA153" s="875"/>
    </row>
    <row r="154" spans="1:27" s="877" customFormat="1" ht="16.5" customHeight="1">
      <c r="A154" s="870" t="s">
        <v>115</v>
      </c>
      <c r="B154" s="950" t="s">
        <v>609</v>
      </c>
      <c r="C154" s="875">
        <f>+D154+K154</f>
        <v>14980600</v>
      </c>
      <c r="D154" s="872">
        <f t="shared" si="143"/>
        <v>4980600</v>
      </c>
      <c r="E154" s="872">
        <v>9913500</v>
      </c>
      <c r="F154" s="872">
        <v>6280600</v>
      </c>
      <c r="G154" s="872">
        <f>-E154</f>
        <v>-9913500</v>
      </c>
      <c r="H154" s="872">
        <v>-1800000</v>
      </c>
      <c r="I154" s="872">
        <v>500000</v>
      </c>
      <c r="J154" s="872"/>
      <c r="K154" s="875">
        <f t="shared" si="136"/>
        <v>10000000</v>
      </c>
      <c r="L154" s="873"/>
      <c r="M154" s="873">
        <v>14000000</v>
      </c>
      <c r="N154" s="873"/>
      <c r="O154" s="873"/>
      <c r="P154" s="873"/>
      <c r="Q154" s="873">
        <v>4000000</v>
      </c>
      <c r="R154" s="952"/>
      <c r="S154" s="875">
        <f>SUM(T154:U154)</f>
        <v>11220600</v>
      </c>
      <c r="T154" s="953">
        <v>6600000</v>
      </c>
      <c r="U154" s="869">
        <v>4620600</v>
      </c>
      <c r="V154" s="869"/>
      <c r="W154" s="875">
        <f t="shared" si="144"/>
        <v>3760000</v>
      </c>
      <c r="X154" s="869">
        <f>500000+500000</f>
        <v>1000000</v>
      </c>
      <c r="Y154" s="869"/>
      <c r="Z154" s="868">
        <f>W154-X154</f>
        <v>2760000</v>
      </c>
      <c r="AA154" s="875"/>
    </row>
    <row r="155" spans="1:27" s="941" customFormat="1" ht="15" customHeight="1">
      <c r="A155" s="946" t="s">
        <v>317</v>
      </c>
      <c r="B155" s="981" t="s">
        <v>561</v>
      </c>
      <c r="C155" s="939">
        <f>+C156+C159</f>
        <v>1591256383</v>
      </c>
      <c r="D155" s="948">
        <f>SUM(E155:J155)</f>
        <v>122532383</v>
      </c>
      <c r="E155" s="948">
        <v>0</v>
      </c>
      <c r="F155" s="948">
        <v>0</v>
      </c>
      <c r="G155" s="948"/>
      <c r="H155" s="948"/>
      <c r="I155" s="948">
        <v>32101258</v>
      </c>
      <c r="J155" s="948">
        <v>90431125</v>
      </c>
      <c r="K155" s="875">
        <f t="shared" si="136"/>
        <v>1468724000</v>
      </c>
      <c r="L155" s="948">
        <f>+L156+L159</f>
        <v>0</v>
      </c>
      <c r="M155" s="948">
        <f>+M156+M159</f>
        <v>1474000000</v>
      </c>
      <c r="N155" s="948">
        <f>+N156+N159</f>
        <v>0</v>
      </c>
      <c r="O155" s="948">
        <f>+O156+O159</f>
        <v>0</v>
      </c>
      <c r="P155" s="948"/>
      <c r="Q155" s="948"/>
      <c r="R155" s="939">
        <f>+R156+R159</f>
        <v>5276000</v>
      </c>
      <c r="S155" s="939">
        <f t="shared" si="119"/>
        <v>1185865226</v>
      </c>
      <c r="T155" s="939">
        <f>+T156+T159</f>
        <v>121784213</v>
      </c>
      <c r="U155" s="939">
        <f>+U156+U159</f>
        <v>1064081013</v>
      </c>
      <c r="V155" s="939">
        <f t="shared" ref="V155:AA155" si="145">+V156+V159</f>
        <v>122532383</v>
      </c>
      <c r="W155" s="939">
        <f t="shared" si="145"/>
        <v>282858774</v>
      </c>
      <c r="X155" s="939">
        <f t="shared" si="145"/>
        <v>0</v>
      </c>
      <c r="Y155" s="939">
        <f t="shared" si="145"/>
        <v>282858774</v>
      </c>
      <c r="Z155" s="939">
        <f t="shared" si="145"/>
        <v>0</v>
      </c>
      <c r="AA155" s="939">
        <f t="shared" si="145"/>
        <v>0</v>
      </c>
    </row>
    <row r="156" spans="1:27" s="941" customFormat="1" ht="20.25" customHeight="1">
      <c r="A156" s="946" t="s">
        <v>318</v>
      </c>
      <c r="B156" s="947" t="s">
        <v>539</v>
      </c>
      <c r="C156" s="939">
        <f>SUM(C157:C158)</f>
        <v>1434155125</v>
      </c>
      <c r="D156" s="948">
        <f t="shared" si="143"/>
        <v>90431125</v>
      </c>
      <c r="E156" s="948">
        <v>0</v>
      </c>
      <c r="F156" s="948">
        <v>0</v>
      </c>
      <c r="G156" s="948"/>
      <c r="H156" s="948"/>
      <c r="I156" s="948">
        <v>0</v>
      </c>
      <c r="J156" s="948">
        <v>90431125</v>
      </c>
      <c r="K156" s="875">
        <f t="shared" si="136"/>
        <v>1343724000</v>
      </c>
      <c r="L156" s="948">
        <f>SUM(L157:L158)</f>
        <v>0</v>
      </c>
      <c r="M156" s="948">
        <f>SUM(M157:M158)</f>
        <v>1349000000</v>
      </c>
      <c r="N156" s="948">
        <f>SUM(N157:N158)</f>
        <v>0</v>
      </c>
      <c r="O156" s="948">
        <f>SUM(O157:O158)</f>
        <v>0</v>
      </c>
      <c r="P156" s="948"/>
      <c r="Q156" s="948"/>
      <c r="R156" s="939">
        <f>SUM(R157:R158)</f>
        <v>5276000</v>
      </c>
      <c r="S156" s="939">
        <f t="shared" si="119"/>
        <v>1064081013</v>
      </c>
      <c r="T156" s="939">
        <f>SUM(T157:T158)</f>
        <v>0</v>
      </c>
      <c r="U156" s="939">
        <f>SUM(U157:U158)</f>
        <v>1064081013</v>
      </c>
      <c r="V156" s="939">
        <f>SUM(V157:V158)</f>
        <v>90431125</v>
      </c>
      <c r="W156" s="939">
        <f t="shared" si="144"/>
        <v>279642987</v>
      </c>
      <c r="X156" s="939">
        <f>X157+X158</f>
        <v>0</v>
      </c>
      <c r="Y156" s="939">
        <f t="shared" ref="Y156:AA156" si="146">Y157+Y158</f>
        <v>279642987</v>
      </c>
      <c r="Z156" s="939">
        <f t="shared" si="146"/>
        <v>0</v>
      </c>
      <c r="AA156" s="939">
        <f t="shared" si="146"/>
        <v>0</v>
      </c>
    </row>
    <row r="157" spans="1:27" s="877" customFormat="1" ht="13.5" customHeight="1">
      <c r="A157" s="870">
        <v>1</v>
      </c>
      <c r="B157" s="950" t="s">
        <v>538</v>
      </c>
      <c r="C157" s="875">
        <f>+D157+K157</f>
        <v>1434155125</v>
      </c>
      <c r="D157" s="872">
        <f t="shared" si="143"/>
        <v>90431125</v>
      </c>
      <c r="E157" s="872"/>
      <c r="F157" s="872"/>
      <c r="G157" s="872"/>
      <c r="H157" s="872"/>
      <c r="I157" s="872"/>
      <c r="J157" s="872">
        <v>90431125</v>
      </c>
      <c r="K157" s="875">
        <f t="shared" si="136"/>
        <v>1343724000</v>
      </c>
      <c r="L157" s="873"/>
      <c r="M157" s="873">
        <v>1349000000</v>
      </c>
      <c r="N157" s="872"/>
      <c r="O157" s="873"/>
      <c r="P157" s="873"/>
      <c r="Q157" s="873"/>
      <c r="R157" s="875">
        <v>5276000</v>
      </c>
      <c r="S157" s="875">
        <f t="shared" si="119"/>
        <v>1064081013</v>
      </c>
      <c r="T157" s="869"/>
      <c r="U157" s="869">
        <v>1064081013</v>
      </c>
      <c r="V157" s="869">
        <f>+J157</f>
        <v>90431125</v>
      </c>
      <c r="W157" s="875">
        <f t="shared" si="144"/>
        <v>279642987</v>
      </c>
      <c r="X157" s="869"/>
      <c r="Y157" s="869">
        <f>+W157</f>
        <v>279642987</v>
      </c>
      <c r="Z157" s="868"/>
      <c r="AA157" s="875"/>
    </row>
    <row r="158" spans="1:27" s="877" customFormat="1" ht="13.5" customHeight="1">
      <c r="A158" s="870">
        <v>2</v>
      </c>
      <c r="B158" s="950" t="s">
        <v>568</v>
      </c>
      <c r="C158" s="875">
        <f>+D158+K158</f>
        <v>0</v>
      </c>
      <c r="D158" s="872">
        <f t="shared" si="143"/>
        <v>0</v>
      </c>
      <c r="E158" s="872"/>
      <c r="F158" s="872"/>
      <c r="G158" s="872"/>
      <c r="H158" s="872"/>
      <c r="I158" s="872">
        <v>0</v>
      </c>
      <c r="J158" s="872"/>
      <c r="K158" s="875">
        <f t="shared" si="136"/>
        <v>0</v>
      </c>
      <c r="L158" s="873"/>
      <c r="M158" s="873"/>
      <c r="N158" s="982"/>
      <c r="O158" s="982"/>
      <c r="P158" s="982"/>
      <c r="Q158" s="982"/>
      <c r="R158" s="952"/>
      <c r="S158" s="875">
        <f t="shared" si="119"/>
        <v>0</v>
      </c>
      <c r="T158" s="869"/>
      <c r="U158" s="869"/>
      <c r="V158" s="869">
        <f>+I158+J158</f>
        <v>0</v>
      </c>
      <c r="W158" s="875">
        <f t="shared" si="144"/>
        <v>0</v>
      </c>
      <c r="X158" s="869"/>
      <c r="Y158" s="983">
        <f>+W158</f>
        <v>0</v>
      </c>
      <c r="Z158" s="954"/>
      <c r="AA158" s="875">
        <f>W158</f>
        <v>0</v>
      </c>
    </row>
    <row r="159" spans="1:27" s="941" customFormat="1" ht="16.5" customHeight="1">
      <c r="A159" s="946" t="s">
        <v>149</v>
      </c>
      <c r="B159" s="947" t="s">
        <v>554</v>
      </c>
      <c r="C159" s="939">
        <f>+D159+K159</f>
        <v>157101258</v>
      </c>
      <c r="D159" s="948">
        <f t="shared" si="143"/>
        <v>32101258</v>
      </c>
      <c r="E159" s="948"/>
      <c r="F159" s="948"/>
      <c r="G159" s="948"/>
      <c r="H159" s="948"/>
      <c r="I159" s="948">
        <v>32101258</v>
      </c>
      <c r="J159" s="948"/>
      <c r="K159" s="875">
        <f t="shared" si="136"/>
        <v>125000000</v>
      </c>
      <c r="L159" s="968"/>
      <c r="M159" s="968">
        <v>125000000</v>
      </c>
      <c r="N159" s="968"/>
      <c r="O159" s="968"/>
      <c r="P159" s="968"/>
      <c r="Q159" s="968"/>
      <c r="R159" s="984"/>
      <c r="S159" s="939">
        <f t="shared" si="119"/>
        <v>121784213</v>
      </c>
      <c r="T159" s="956">
        <v>121784213</v>
      </c>
      <c r="U159" s="956"/>
      <c r="V159" s="956">
        <f>+I159+J159</f>
        <v>32101258</v>
      </c>
      <c r="W159" s="939">
        <f t="shared" si="144"/>
        <v>3215787</v>
      </c>
      <c r="X159" s="956"/>
      <c r="Y159" s="985">
        <f>W159</f>
        <v>3215787</v>
      </c>
      <c r="Z159" s="986"/>
      <c r="AA159" s="986"/>
    </row>
    <row r="160" spans="1:27" s="941" customFormat="1" ht="15" customHeight="1">
      <c r="A160" s="975" t="s">
        <v>246</v>
      </c>
      <c r="B160" s="981" t="s">
        <v>540</v>
      </c>
      <c r="C160" s="956">
        <f t="shared" ref="C160:J160" si="147">+C161+C173</f>
        <v>588123881150</v>
      </c>
      <c r="D160" s="987">
        <f t="shared" si="147"/>
        <v>40553079353</v>
      </c>
      <c r="E160" s="987">
        <f t="shared" si="147"/>
        <v>26889590794</v>
      </c>
      <c r="F160" s="987">
        <f t="shared" si="147"/>
        <v>5180096979</v>
      </c>
      <c r="G160" s="987">
        <f t="shared" si="147"/>
        <v>0</v>
      </c>
      <c r="H160" s="987">
        <f t="shared" si="147"/>
        <v>0</v>
      </c>
      <c r="I160" s="987">
        <f t="shared" si="147"/>
        <v>7529457562</v>
      </c>
      <c r="J160" s="987">
        <f t="shared" si="147"/>
        <v>953934018</v>
      </c>
      <c r="K160" s="875">
        <f t="shared" si="136"/>
        <v>547570801797</v>
      </c>
      <c r="L160" s="956">
        <f>+L161+L173</f>
        <v>433273768790</v>
      </c>
      <c r="M160" s="956">
        <f>+M161+M173</f>
        <v>9780000000</v>
      </c>
      <c r="N160" s="956">
        <f>+N161+N173</f>
        <v>66420352908</v>
      </c>
      <c r="O160" s="956">
        <f>+O161+O173</f>
        <v>39206783542</v>
      </c>
      <c r="P160" s="956"/>
      <c r="Q160" s="956"/>
      <c r="R160" s="956">
        <f t="shared" ref="R160:AA160" si="148">+R161+R173</f>
        <v>1110103443</v>
      </c>
      <c r="S160" s="956">
        <f t="shared" si="148"/>
        <v>539725048591</v>
      </c>
      <c r="T160" s="956">
        <f t="shared" si="148"/>
        <v>393567297570</v>
      </c>
      <c r="U160" s="956">
        <f t="shared" si="148"/>
        <v>146157751021</v>
      </c>
      <c r="V160" s="956">
        <f t="shared" si="148"/>
        <v>7396963413</v>
      </c>
      <c r="W160" s="956">
        <f t="shared" si="148"/>
        <v>41001869146</v>
      </c>
      <c r="X160" s="956">
        <f t="shared" si="148"/>
        <v>27617865937</v>
      </c>
      <c r="Y160" s="956">
        <f t="shared" si="148"/>
        <v>3437694179</v>
      </c>
      <c r="Z160" s="956">
        <f t="shared" si="148"/>
        <v>8924736839</v>
      </c>
      <c r="AA160" s="956">
        <f t="shared" si="148"/>
        <v>1021562191</v>
      </c>
    </row>
    <row r="161" spans="1:27" s="990" customFormat="1" ht="15" customHeight="1">
      <c r="A161" s="988" t="s">
        <v>318</v>
      </c>
      <c r="B161" s="989" t="s">
        <v>61</v>
      </c>
      <c r="C161" s="939">
        <f t="shared" ref="C161:R161" si="149">+C162+C163+C164+C165+C166+C169+C170+C171+C172</f>
        <v>50945998439</v>
      </c>
      <c r="D161" s="939">
        <f t="shared" si="149"/>
        <v>22797762587</v>
      </c>
      <c r="E161" s="939">
        <f t="shared" si="149"/>
        <v>20390851751</v>
      </c>
      <c r="F161" s="939">
        <f t="shared" si="149"/>
        <v>2189166286</v>
      </c>
      <c r="G161" s="939">
        <f t="shared" si="149"/>
        <v>0</v>
      </c>
      <c r="H161" s="939">
        <f t="shared" si="149"/>
        <v>0</v>
      </c>
      <c r="I161" s="939">
        <f t="shared" si="149"/>
        <v>53663150</v>
      </c>
      <c r="J161" s="939">
        <f t="shared" si="149"/>
        <v>164081400</v>
      </c>
      <c r="K161" s="939">
        <f t="shared" si="149"/>
        <v>28148235852</v>
      </c>
      <c r="L161" s="939">
        <f t="shared" si="149"/>
        <v>22538000000</v>
      </c>
      <c r="M161" s="939">
        <f t="shared" si="149"/>
        <v>1700000000</v>
      </c>
      <c r="N161" s="939">
        <f t="shared" si="149"/>
        <v>4500000000</v>
      </c>
      <c r="O161" s="939">
        <f t="shared" si="149"/>
        <v>-569506000</v>
      </c>
      <c r="P161" s="939">
        <f t="shared" si="149"/>
        <v>0</v>
      </c>
      <c r="Q161" s="939">
        <f t="shared" si="149"/>
        <v>0</v>
      </c>
      <c r="R161" s="939">
        <f t="shared" si="149"/>
        <v>20258148</v>
      </c>
      <c r="S161" s="939">
        <f>+S162+S163+S164+S165+S166+S169+S170+S171+S172</f>
        <v>45591650211</v>
      </c>
      <c r="T161" s="939">
        <f t="shared" ref="T161:AA161" si="150">+T162+T163+T164+T165+T166+T169+T170+T171+T172</f>
        <v>41299575939</v>
      </c>
      <c r="U161" s="939">
        <f t="shared" si="150"/>
        <v>4292074272</v>
      </c>
      <c r="V161" s="939">
        <f t="shared" si="150"/>
        <v>107745400</v>
      </c>
      <c r="W161" s="939">
        <f t="shared" si="150"/>
        <v>5246602828</v>
      </c>
      <c r="X161" s="939">
        <f t="shared" si="150"/>
        <v>3559615889.0000005</v>
      </c>
      <c r="Y161" s="939">
        <f t="shared" si="150"/>
        <v>239894925</v>
      </c>
      <c r="Z161" s="939">
        <f t="shared" si="150"/>
        <v>542184618</v>
      </c>
      <c r="AA161" s="939">
        <f t="shared" si="150"/>
        <v>904907396</v>
      </c>
    </row>
    <row r="162" spans="1:27" s="994" customFormat="1" ht="14.25" customHeight="1">
      <c r="A162" s="870">
        <v>1</v>
      </c>
      <c r="B162" s="991" t="s">
        <v>1018</v>
      </c>
      <c r="C162" s="875">
        <f t="shared" ref="C162:C172" si="151">+D162+K162</f>
        <v>1800000000</v>
      </c>
      <c r="D162" s="872">
        <f t="shared" si="143"/>
        <v>0</v>
      </c>
      <c r="E162" s="872"/>
      <c r="F162" s="872"/>
      <c r="G162" s="872"/>
      <c r="H162" s="872"/>
      <c r="I162" s="872">
        <v>0</v>
      </c>
      <c r="J162" s="872"/>
      <c r="K162" s="875">
        <f t="shared" si="136"/>
        <v>1800000000</v>
      </c>
      <c r="L162" s="873">
        <v>1800000000</v>
      </c>
      <c r="M162" s="873"/>
      <c r="N162" s="873"/>
      <c r="O162" s="873"/>
      <c r="P162" s="873"/>
      <c r="Q162" s="873"/>
      <c r="R162" s="992"/>
      <c r="S162" s="875">
        <f t="shared" si="119"/>
        <v>1777892472</v>
      </c>
      <c r="T162" s="869">
        <v>1777892472</v>
      </c>
      <c r="U162" s="993"/>
      <c r="V162" s="869"/>
      <c r="W162" s="875">
        <f t="shared" ref="W162:W172" si="152">+C162-S162-V162</f>
        <v>22107528</v>
      </c>
      <c r="X162" s="869"/>
      <c r="Y162" s="869">
        <f>+W162-AA162</f>
        <v>22107528</v>
      </c>
      <c r="Z162" s="954"/>
      <c r="AA162" s="954"/>
    </row>
    <row r="163" spans="1:27" s="877" customFormat="1" ht="14.25" customHeight="1">
      <c r="A163" s="870">
        <v>2</v>
      </c>
      <c r="B163" s="871" t="s">
        <v>1029</v>
      </c>
      <c r="C163" s="875">
        <f t="shared" si="151"/>
        <v>15974590711</v>
      </c>
      <c r="D163" s="872">
        <f>SUM(E163:J163)</f>
        <v>15974590711</v>
      </c>
      <c r="E163" s="874">
        <f>16058149011-83558300</f>
        <v>15974590711</v>
      </c>
      <c r="F163" s="874"/>
      <c r="G163" s="874"/>
      <c r="H163" s="874"/>
      <c r="I163" s="874"/>
      <c r="J163" s="874"/>
      <c r="K163" s="875">
        <f t="shared" si="136"/>
        <v>0</v>
      </c>
      <c r="L163" s="874"/>
      <c r="M163" s="874"/>
      <c r="N163" s="874"/>
      <c r="O163" s="874"/>
      <c r="P163" s="874"/>
      <c r="Q163" s="874"/>
      <c r="R163" s="874"/>
      <c r="S163" s="875">
        <f>SUM(T163:U163)</f>
        <v>13153070422</v>
      </c>
      <c r="T163" s="876">
        <f>4328149011+8824921411</f>
        <v>13153070422</v>
      </c>
      <c r="U163" s="876"/>
      <c r="V163" s="869">
        <f>+J163</f>
        <v>0</v>
      </c>
      <c r="W163" s="875">
        <f t="shared" si="152"/>
        <v>2821520289</v>
      </c>
      <c r="X163" s="876">
        <v>2821520289.0000005</v>
      </c>
      <c r="Y163" s="876">
        <f>+W163-X163</f>
        <v>0</v>
      </c>
      <c r="Z163" s="876"/>
      <c r="AA163" s="876"/>
    </row>
    <row r="164" spans="1:27" s="877" customFormat="1" ht="14.25" customHeight="1">
      <c r="A164" s="870">
        <v>3</v>
      </c>
      <c r="B164" s="950" t="s">
        <v>1025</v>
      </c>
      <c r="C164" s="875">
        <f t="shared" si="151"/>
        <v>2189166286</v>
      </c>
      <c r="D164" s="872">
        <f t="shared" si="143"/>
        <v>2189166286</v>
      </c>
      <c r="E164" s="874"/>
      <c r="F164" s="874">
        <v>2189166286</v>
      </c>
      <c r="G164" s="874"/>
      <c r="H164" s="874"/>
      <c r="I164" s="874"/>
      <c r="J164" s="874"/>
      <c r="K164" s="875">
        <f t="shared" si="136"/>
        <v>0</v>
      </c>
      <c r="L164" s="874"/>
      <c r="M164" s="874"/>
      <c r="N164" s="874"/>
      <c r="O164" s="874"/>
      <c r="P164" s="874"/>
      <c r="Q164" s="874"/>
      <c r="R164" s="874"/>
      <c r="S164" s="875">
        <f t="shared" si="119"/>
        <v>1953012672</v>
      </c>
      <c r="T164" s="876"/>
      <c r="U164" s="876">
        <v>1953012672</v>
      </c>
      <c r="V164" s="869"/>
      <c r="W164" s="875">
        <f t="shared" si="152"/>
        <v>236153614</v>
      </c>
      <c r="X164" s="876"/>
      <c r="Y164" s="876"/>
      <c r="Z164" s="876">
        <v>192060618</v>
      </c>
      <c r="AA164" s="876">
        <v>44092996</v>
      </c>
    </row>
    <row r="165" spans="1:27" s="877" customFormat="1" ht="14.25" customHeight="1">
      <c r="A165" s="870">
        <v>4</v>
      </c>
      <c r="B165" s="871" t="s">
        <v>1017</v>
      </c>
      <c r="C165" s="875">
        <f t="shared" ref="C165" si="153">+D165+K165</f>
        <v>14888000000</v>
      </c>
      <c r="D165" s="872">
        <f t="shared" ref="D165" si="154">SUM(E165:J165)</f>
        <v>0</v>
      </c>
      <c r="E165" s="872">
        <v>0</v>
      </c>
      <c r="F165" s="872"/>
      <c r="G165" s="872"/>
      <c r="H165" s="872"/>
      <c r="I165" s="872"/>
      <c r="J165" s="872"/>
      <c r="K165" s="875">
        <f t="shared" ref="K165:K168" si="155">+L165+M165+N165+O165+P165-Q165-R165</f>
        <v>14888000000</v>
      </c>
      <c r="L165" s="873">
        <f>14888000000</f>
        <v>14888000000</v>
      </c>
      <c r="M165" s="873"/>
      <c r="N165" s="873"/>
      <c r="O165" s="873"/>
      <c r="P165" s="873"/>
      <c r="Q165" s="873"/>
      <c r="R165" s="869"/>
      <c r="S165" s="875">
        <f t="shared" ref="S165" si="156">SUM(T165:U165)</f>
        <v>14887999905</v>
      </c>
      <c r="T165" s="869">
        <v>14887999905</v>
      </c>
      <c r="U165" s="869"/>
      <c r="V165" s="869"/>
      <c r="W165" s="875">
        <f t="shared" ref="W165" si="157">+C165-S165-V165</f>
        <v>95</v>
      </c>
      <c r="X165" s="995">
        <v>0</v>
      </c>
      <c r="Y165" s="954">
        <f>+W165</f>
        <v>95</v>
      </c>
      <c r="Z165" s="954"/>
      <c r="AA165" s="954"/>
    </row>
    <row r="166" spans="1:27" s="877" customFormat="1" ht="18" customHeight="1">
      <c r="A166" s="870">
        <v>5</v>
      </c>
      <c r="B166" s="871" t="s">
        <v>467</v>
      </c>
      <c r="C166" s="875">
        <f>+C167+C168</f>
        <v>9806754190</v>
      </c>
      <c r="D166" s="875">
        <f t="shared" ref="D166" si="158">+D167+D168</f>
        <v>4526260190</v>
      </c>
      <c r="E166" s="875">
        <v>4416261040</v>
      </c>
      <c r="F166" s="875">
        <f t="shared" ref="F166:H166" si="159">+F167+F168</f>
        <v>0</v>
      </c>
      <c r="G166" s="875">
        <f t="shared" si="159"/>
        <v>0</v>
      </c>
      <c r="H166" s="875">
        <f t="shared" si="159"/>
        <v>0</v>
      </c>
      <c r="I166" s="875">
        <v>53663150</v>
      </c>
      <c r="J166" s="875">
        <v>56336000</v>
      </c>
      <c r="K166" s="875">
        <f t="shared" si="155"/>
        <v>5280494000</v>
      </c>
      <c r="L166" s="873">
        <v>5850000000</v>
      </c>
      <c r="M166" s="875">
        <f t="shared" ref="M166:N166" si="160">+M167+M168</f>
        <v>0</v>
      </c>
      <c r="N166" s="875">
        <f t="shared" si="160"/>
        <v>0</v>
      </c>
      <c r="O166" s="997">
        <f>+-L166+5280494000</f>
        <v>-569506000</v>
      </c>
      <c r="P166" s="875">
        <f t="shared" ref="P166:S166" si="161">+P167+P168</f>
        <v>0</v>
      </c>
      <c r="Q166" s="875">
        <f t="shared" si="161"/>
        <v>0</v>
      </c>
      <c r="R166" s="875">
        <f t="shared" si="161"/>
        <v>0</v>
      </c>
      <c r="S166" s="875">
        <f t="shared" si="161"/>
        <v>8957688940</v>
      </c>
      <c r="T166" s="875">
        <v>8015245140</v>
      </c>
      <c r="U166" s="875">
        <v>942443800</v>
      </c>
      <c r="V166" s="875">
        <f t="shared" ref="V166:W166" si="162">+V167+V168</f>
        <v>0</v>
      </c>
      <c r="W166" s="875">
        <f t="shared" si="162"/>
        <v>849065250</v>
      </c>
      <c r="X166" s="875">
        <f>+X167+X168</f>
        <v>738095600</v>
      </c>
      <c r="Y166" s="875">
        <f t="shared" ref="Y166:AA166" si="163">+Y167+Y168</f>
        <v>53413450</v>
      </c>
      <c r="Z166" s="875">
        <f t="shared" si="163"/>
        <v>0</v>
      </c>
      <c r="AA166" s="876">
        <f t="shared" si="163"/>
        <v>57556200</v>
      </c>
    </row>
    <row r="167" spans="1:27" s="980" customFormat="1" ht="15.75" customHeight="1">
      <c r="A167" s="976" t="s">
        <v>565</v>
      </c>
      <c r="B167" s="996" t="s">
        <v>192</v>
      </c>
      <c r="C167" s="978">
        <f>+D167+K167</f>
        <v>8806754190</v>
      </c>
      <c r="D167" s="979">
        <f t="shared" ref="D167" si="164">SUM(E167:J167)</f>
        <v>3526260190</v>
      </c>
      <c r="E167" s="979">
        <f>4416261040-E168</f>
        <v>3416261040</v>
      </c>
      <c r="F167" s="979"/>
      <c r="G167" s="979"/>
      <c r="H167" s="979"/>
      <c r="I167" s="979">
        <v>53663150</v>
      </c>
      <c r="J167" s="979">
        <v>56336000</v>
      </c>
      <c r="K167" s="875">
        <f t="shared" si="155"/>
        <v>5280494000</v>
      </c>
      <c r="L167" s="997">
        <v>5850000000</v>
      </c>
      <c r="M167" s="997"/>
      <c r="N167" s="997"/>
      <c r="O167" s="997">
        <f>+-L167+5280494000</f>
        <v>-569506000</v>
      </c>
      <c r="P167" s="997"/>
      <c r="Q167" s="997"/>
      <c r="R167" s="998"/>
      <c r="S167" s="978">
        <f t="shared" ref="S167:S168" si="165">SUM(T167:U167)</f>
        <v>8015245140</v>
      </c>
      <c r="T167" s="999">
        <f>5279523500+1473304021+1262417619</f>
        <v>8015245140</v>
      </c>
      <c r="U167" s="999"/>
      <c r="V167" s="999"/>
      <c r="W167" s="978">
        <f>+C167-S167-V167</f>
        <v>791509050</v>
      </c>
      <c r="X167" s="999">
        <f>58095600+680000000</f>
        <v>738095600</v>
      </c>
      <c r="Y167" s="1000">
        <f>+W167-X167</f>
        <v>53413450</v>
      </c>
      <c r="Z167" s="1001"/>
      <c r="AA167" s="876"/>
    </row>
    <row r="168" spans="1:27" s="980" customFormat="1" ht="15.75" customHeight="1">
      <c r="A168" s="976" t="s">
        <v>115</v>
      </c>
      <c r="B168" s="977" t="s">
        <v>1020</v>
      </c>
      <c r="C168" s="978">
        <f t="shared" ref="C168" si="166">+D168+K168</f>
        <v>1000000000</v>
      </c>
      <c r="D168" s="979">
        <f>SUM(E168:J168)</f>
        <v>1000000000</v>
      </c>
      <c r="E168" s="979">
        <v>1000000000</v>
      </c>
      <c r="F168" s="979"/>
      <c r="G168" s="979"/>
      <c r="H168" s="979"/>
      <c r="I168" s="979"/>
      <c r="J168" s="979"/>
      <c r="K168" s="875">
        <f t="shared" si="155"/>
        <v>0</v>
      </c>
      <c r="L168" s="997"/>
      <c r="M168" s="997">
        <v>0</v>
      </c>
      <c r="N168" s="997">
        <v>0</v>
      </c>
      <c r="O168" s="997"/>
      <c r="P168" s="997"/>
      <c r="Q168" s="997"/>
      <c r="R168" s="998">
        <v>0</v>
      </c>
      <c r="S168" s="978">
        <f t="shared" si="165"/>
        <v>942443800</v>
      </c>
      <c r="T168" s="999">
        <v>0</v>
      </c>
      <c r="U168" s="999">
        <f>942443800</f>
        <v>942443800</v>
      </c>
      <c r="V168" s="999">
        <f>+J168</f>
        <v>0</v>
      </c>
      <c r="W168" s="978">
        <f>+C168-S168-V168</f>
        <v>57556200</v>
      </c>
      <c r="X168" s="999"/>
      <c r="Y168" s="1000"/>
      <c r="Z168" s="1001"/>
      <c r="AA168" s="1002">
        <f>+W168</f>
        <v>57556200</v>
      </c>
    </row>
    <row r="169" spans="1:27" s="877" customFormat="1" ht="14.25" customHeight="1">
      <c r="A169" s="870">
        <v>6</v>
      </c>
      <c r="B169" s="871" t="s">
        <v>634</v>
      </c>
      <c r="C169" s="875">
        <f t="shared" si="151"/>
        <v>1607745400</v>
      </c>
      <c r="D169" s="872">
        <f t="shared" si="143"/>
        <v>107745400</v>
      </c>
      <c r="E169" s="872"/>
      <c r="F169" s="872"/>
      <c r="G169" s="872"/>
      <c r="H169" s="872"/>
      <c r="I169" s="872"/>
      <c r="J169" s="872">
        <v>107745400</v>
      </c>
      <c r="K169" s="875">
        <f t="shared" si="136"/>
        <v>1500000000</v>
      </c>
      <c r="L169" s="873"/>
      <c r="M169" s="873">
        <v>1500000000</v>
      </c>
      <c r="N169" s="873"/>
      <c r="O169" s="873"/>
      <c r="P169" s="873"/>
      <c r="Q169" s="873"/>
      <c r="R169" s="869"/>
      <c r="S169" s="875">
        <f t="shared" si="119"/>
        <v>1149876000</v>
      </c>
      <c r="T169" s="869"/>
      <c r="U169" s="869">
        <v>1149876000</v>
      </c>
      <c r="V169" s="869">
        <f>+J169</f>
        <v>107745400</v>
      </c>
      <c r="W169" s="875">
        <f t="shared" si="152"/>
        <v>350124000</v>
      </c>
      <c r="X169" s="869"/>
      <c r="Y169" s="983"/>
      <c r="Z169" s="876">
        <f>+W169</f>
        <v>350124000</v>
      </c>
      <c r="AA169" s="954"/>
    </row>
    <row r="170" spans="1:27" s="877" customFormat="1" ht="21" customHeight="1">
      <c r="A170" s="870">
        <v>7</v>
      </c>
      <c r="B170" s="871" t="s">
        <v>1011</v>
      </c>
      <c r="C170" s="875">
        <f t="shared" si="151"/>
        <v>1479741852</v>
      </c>
      <c r="D170" s="872">
        <f t="shared" si="143"/>
        <v>0</v>
      </c>
      <c r="E170" s="872"/>
      <c r="F170" s="872"/>
      <c r="G170" s="872"/>
      <c r="H170" s="872"/>
      <c r="I170" s="872"/>
      <c r="J170" s="872"/>
      <c r="K170" s="875">
        <f t="shared" si="136"/>
        <v>1479741852</v>
      </c>
      <c r="L170" s="873"/>
      <c r="M170" s="873"/>
      <c r="N170" s="873">
        <v>1500000000</v>
      </c>
      <c r="O170" s="873"/>
      <c r="P170" s="873"/>
      <c r="Q170" s="873"/>
      <c r="R170" s="869">
        <v>20258148</v>
      </c>
      <c r="S170" s="875">
        <f t="shared" si="119"/>
        <v>1420707400</v>
      </c>
      <c r="T170" s="869">
        <v>1420707400</v>
      </c>
      <c r="U170" s="869"/>
      <c r="V170" s="869"/>
      <c r="W170" s="875">
        <f t="shared" si="152"/>
        <v>59034452</v>
      </c>
      <c r="X170" s="995"/>
      <c r="Y170" s="954">
        <f>+W170</f>
        <v>59034452</v>
      </c>
      <c r="Z170" s="954"/>
      <c r="AA170" s="954"/>
    </row>
    <row r="171" spans="1:27" s="877" customFormat="1" ht="16.5" customHeight="1">
      <c r="A171" s="870">
        <v>8</v>
      </c>
      <c r="B171" s="871" t="s">
        <v>1016</v>
      </c>
      <c r="C171" s="875">
        <f t="shared" si="151"/>
        <v>200000000</v>
      </c>
      <c r="D171" s="872">
        <f t="shared" si="143"/>
        <v>0</v>
      </c>
      <c r="E171" s="872"/>
      <c r="F171" s="872"/>
      <c r="G171" s="872"/>
      <c r="H171" s="872"/>
      <c r="I171" s="872"/>
      <c r="J171" s="872"/>
      <c r="K171" s="875">
        <f t="shared" si="136"/>
        <v>200000000</v>
      </c>
      <c r="L171" s="873"/>
      <c r="M171" s="873">
        <v>200000000</v>
      </c>
      <c r="N171" s="873"/>
      <c r="O171" s="873"/>
      <c r="P171" s="873"/>
      <c r="Q171" s="873"/>
      <c r="R171" s="952"/>
      <c r="S171" s="875">
        <f t="shared" si="119"/>
        <v>200000000</v>
      </c>
      <c r="T171" s="869"/>
      <c r="U171" s="869">
        <v>200000000</v>
      </c>
      <c r="V171" s="869"/>
      <c r="W171" s="875">
        <f t="shared" si="152"/>
        <v>0</v>
      </c>
      <c r="X171" s="995"/>
      <c r="Y171" s="954"/>
      <c r="Z171" s="954"/>
      <c r="AA171" s="954"/>
    </row>
    <row r="172" spans="1:27" s="877" customFormat="1" ht="15.75" customHeight="1">
      <c r="A172" s="870">
        <v>9</v>
      </c>
      <c r="B172" s="871" t="s">
        <v>1019</v>
      </c>
      <c r="C172" s="875">
        <f t="shared" si="151"/>
        <v>3000000000</v>
      </c>
      <c r="D172" s="872">
        <f t="shared" si="143"/>
        <v>0</v>
      </c>
      <c r="E172" s="872"/>
      <c r="F172" s="872"/>
      <c r="G172" s="872"/>
      <c r="H172" s="872"/>
      <c r="I172" s="872"/>
      <c r="J172" s="872"/>
      <c r="K172" s="875">
        <f t="shared" si="136"/>
        <v>3000000000</v>
      </c>
      <c r="L172" s="873"/>
      <c r="M172" s="873"/>
      <c r="N172" s="873">
        <v>3000000000</v>
      </c>
      <c r="O172" s="873"/>
      <c r="P172" s="873"/>
      <c r="Q172" s="873"/>
      <c r="R172" s="952"/>
      <c r="S172" s="875">
        <f t="shared" si="119"/>
        <v>2091402400</v>
      </c>
      <c r="T172" s="869">
        <v>2044660600</v>
      </c>
      <c r="U172" s="869">
        <v>46741800</v>
      </c>
      <c r="V172" s="869"/>
      <c r="W172" s="875">
        <f t="shared" si="152"/>
        <v>908597600</v>
      </c>
      <c r="X172" s="995"/>
      <c r="Y172" s="954">
        <f>+W172-AA172</f>
        <v>105339400</v>
      </c>
      <c r="Z172" s="954"/>
      <c r="AA172" s="876">
        <v>803258200</v>
      </c>
    </row>
    <row r="173" spans="1:27" s="990" customFormat="1" ht="15.75" customHeight="1">
      <c r="A173" s="988" t="s">
        <v>149</v>
      </c>
      <c r="B173" s="981" t="s">
        <v>116</v>
      </c>
      <c r="C173" s="939">
        <f t="shared" ref="C173:O173" si="167">SUM(C174:C203)</f>
        <v>537177882711</v>
      </c>
      <c r="D173" s="939">
        <f t="shared" si="167"/>
        <v>17755316766</v>
      </c>
      <c r="E173" s="939">
        <f t="shared" si="167"/>
        <v>6498739043</v>
      </c>
      <c r="F173" s="939">
        <f t="shared" si="167"/>
        <v>2990930693</v>
      </c>
      <c r="G173" s="939">
        <f t="shared" si="167"/>
        <v>0</v>
      </c>
      <c r="H173" s="939">
        <f t="shared" si="167"/>
        <v>0</v>
      </c>
      <c r="I173" s="939">
        <f t="shared" si="167"/>
        <v>7475794412</v>
      </c>
      <c r="J173" s="939">
        <f t="shared" si="167"/>
        <v>789852618</v>
      </c>
      <c r="K173" s="875">
        <f t="shared" si="136"/>
        <v>519422565945</v>
      </c>
      <c r="L173" s="948">
        <f t="shared" si="167"/>
        <v>410735768790</v>
      </c>
      <c r="M173" s="948">
        <f t="shared" si="167"/>
        <v>8080000000</v>
      </c>
      <c r="N173" s="948">
        <f t="shared" si="167"/>
        <v>61920352908</v>
      </c>
      <c r="O173" s="948">
        <f t="shared" si="167"/>
        <v>39776289542</v>
      </c>
      <c r="P173" s="948"/>
      <c r="Q173" s="948"/>
      <c r="R173" s="948">
        <f>SUM(R174:R203)</f>
        <v>1089845295</v>
      </c>
      <c r="S173" s="939">
        <f>SUM(T173:U173)</f>
        <v>494133398380</v>
      </c>
      <c r="T173" s="939">
        <f>SUM(T174:T203)</f>
        <v>352267721631</v>
      </c>
      <c r="U173" s="939">
        <f t="shared" ref="U173:AA173" si="168">SUM(U174:U203)</f>
        <v>141865676749</v>
      </c>
      <c r="V173" s="939">
        <f t="shared" si="168"/>
        <v>7289218013</v>
      </c>
      <c r="W173" s="939">
        <f t="shared" si="168"/>
        <v>35755266318</v>
      </c>
      <c r="X173" s="939">
        <f t="shared" si="168"/>
        <v>24058250048</v>
      </c>
      <c r="Y173" s="939">
        <f>SUM(Y174:Y203)</f>
        <v>3197799254</v>
      </c>
      <c r="Z173" s="939">
        <f t="shared" si="168"/>
        <v>8382552221</v>
      </c>
      <c r="AA173" s="939">
        <f t="shared" si="168"/>
        <v>116654795</v>
      </c>
    </row>
    <row r="174" spans="1:27" s="877" customFormat="1" ht="20.25" customHeight="1">
      <c r="A174" s="870">
        <v>1</v>
      </c>
      <c r="B174" s="871" t="s">
        <v>997</v>
      </c>
      <c r="C174" s="875">
        <f t="shared" ref="C174:C205" si="169">+D174+K174</f>
        <v>10976839500</v>
      </c>
      <c r="D174" s="872">
        <f t="shared" si="143"/>
        <v>5332500</v>
      </c>
      <c r="E174" s="872"/>
      <c r="F174" s="872"/>
      <c r="G174" s="872"/>
      <c r="H174" s="872"/>
      <c r="I174" s="872">
        <v>5332500</v>
      </c>
      <c r="J174" s="872"/>
      <c r="K174" s="875">
        <f t="shared" si="136"/>
        <v>10971507000</v>
      </c>
      <c r="L174" s="873">
        <v>9856000000</v>
      </c>
      <c r="M174" s="991"/>
      <c r="N174" s="873">
        <v>1115507000</v>
      </c>
      <c r="O174" s="873"/>
      <c r="P174" s="873"/>
      <c r="Q174" s="873"/>
      <c r="R174" s="952"/>
      <c r="S174" s="875">
        <f t="shared" ref="S174:S205" si="170">SUM(T174:U174)</f>
        <v>10875074044</v>
      </c>
      <c r="T174" s="869">
        <v>10875074044</v>
      </c>
      <c r="U174" s="869"/>
      <c r="V174" s="869">
        <f t="shared" ref="V174:V181" si="171">+I174+J174</f>
        <v>5332500</v>
      </c>
      <c r="W174" s="875">
        <f t="shared" ref="W174:W202" si="172">+C174-S174-V174</f>
        <v>96432956</v>
      </c>
      <c r="X174" s="869"/>
      <c r="Y174" s="869">
        <f>W174</f>
        <v>96432956</v>
      </c>
      <c r="Z174" s="954"/>
      <c r="AA174" s="954"/>
    </row>
    <row r="175" spans="1:27" s="877" customFormat="1" ht="20.25" customHeight="1">
      <c r="A175" s="870">
        <v>2</v>
      </c>
      <c r="B175" s="950" t="s">
        <v>281</v>
      </c>
      <c r="C175" s="875">
        <f t="shared" si="169"/>
        <v>3365590000</v>
      </c>
      <c r="D175" s="872">
        <f t="shared" si="143"/>
        <v>186980000</v>
      </c>
      <c r="E175" s="872"/>
      <c r="F175" s="872"/>
      <c r="G175" s="872"/>
      <c r="H175" s="872"/>
      <c r="I175" s="872">
        <v>186980000</v>
      </c>
      <c r="J175" s="872"/>
      <c r="K175" s="875">
        <f t="shared" si="136"/>
        <v>3178610000</v>
      </c>
      <c r="L175" s="872">
        <v>3479000000</v>
      </c>
      <c r="M175" s="991"/>
      <c r="N175" s="872"/>
      <c r="O175" s="872"/>
      <c r="P175" s="872"/>
      <c r="Q175" s="872"/>
      <c r="R175" s="869">
        <v>300390000</v>
      </c>
      <c r="S175" s="875">
        <f t="shared" si="170"/>
        <v>3176290000</v>
      </c>
      <c r="T175" s="875">
        <v>3176290000</v>
      </c>
      <c r="U175" s="869"/>
      <c r="V175" s="869">
        <f t="shared" si="171"/>
        <v>186980000</v>
      </c>
      <c r="W175" s="875">
        <f t="shared" si="172"/>
        <v>2320000</v>
      </c>
      <c r="X175" s="869"/>
      <c r="Y175" s="869">
        <f>W175</f>
        <v>2320000</v>
      </c>
      <c r="Z175" s="954"/>
      <c r="AA175" s="954"/>
    </row>
    <row r="176" spans="1:27" s="877" customFormat="1" ht="20.25" customHeight="1">
      <c r="A176" s="870">
        <v>3</v>
      </c>
      <c r="B176" s="871" t="s">
        <v>664</v>
      </c>
      <c r="C176" s="875">
        <f t="shared" si="169"/>
        <v>2185111000</v>
      </c>
      <c r="D176" s="872">
        <f t="shared" si="143"/>
        <v>317940000</v>
      </c>
      <c r="E176" s="872"/>
      <c r="F176" s="872"/>
      <c r="G176" s="872"/>
      <c r="H176" s="872"/>
      <c r="I176" s="872">
        <v>317940000</v>
      </c>
      <c r="J176" s="872"/>
      <c r="K176" s="875">
        <f t="shared" si="136"/>
        <v>1867171000</v>
      </c>
      <c r="L176" s="873">
        <v>2080000000</v>
      </c>
      <c r="M176" s="991"/>
      <c r="N176" s="873"/>
      <c r="O176" s="873"/>
      <c r="P176" s="873"/>
      <c r="Q176" s="873"/>
      <c r="R176" s="869">
        <v>212829000</v>
      </c>
      <c r="S176" s="875">
        <f t="shared" si="170"/>
        <v>1865112000</v>
      </c>
      <c r="T176" s="869">
        <v>1865112000</v>
      </c>
      <c r="U176" s="869"/>
      <c r="V176" s="869">
        <f t="shared" si="171"/>
        <v>317940000</v>
      </c>
      <c r="W176" s="875">
        <f t="shared" si="172"/>
        <v>2059000</v>
      </c>
      <c r="X176" s="869"/>
      <c r="Y176" s="869">
        <f>W176</f>
        <v>2059000</v>
      </c>
      <c r="Z176" s="954"/>
      <c r="AA176" s="954"/>
    </row>
    <row r="177" spans="1:27" s="877" customFormat="1" ht="20.25" customHeight="1">
      <c r="A177" s="870">
        <v>4</v>
      </c>
      <c r="B177" s="871" t="s">
        <v>1034</v>
      </c>
      <c r="C177" s="875">
        <f t="shared" si="169"/>
        <v>13304280017</v>
      </c>
      <c r="D177" s="872">
        <f t="shared" si="143"/>
        <v>1444592017</v>
      </c>
      <c r="E177" s="872">
        <v>195795840</v>
      </c>
      <c r="F177" s="872"/>
      <c r="G177" s="872"/>
      <c r="H177" s="872"/>
      <c r="I177" s="872">
        <v>1248796177</v>
      </c>
      <c r="J177" s="872"/>
      <c r="K177" s="875">
        <f t="shared" si="136"/>
        <v>11859688000</v>
      </c>
      <c r="L177" s="873">
        <f>8734000000+1487000000+126000000</f>
        <v>10347000000</v>
      </c>
      <c r="M177" s="991"/>
      <c r="N177" s="873">
        <v>1512688000</v>
      </c>
      <c r="O177" s="873"/>
      <c r="P177" s="873"/>
      <c r="Q177" s="873"/>
      <c r="R177" s="952"/>
      <c r="S177" s="875">
        <f t="shared" si="170"/>
        <v>11471319790</v>
      </c>
      <c r="T177" s="869">
        <f>+E177+11275523950</f>
        <v>11471319790</v>
      </c>
      <c r="U177" s="869"/>
      <c r="V177" s="869">
        <f t="shared" si="171"/>
        <v>1248796177</v>
      </c>
      <c r="W177" s="875">
        <f t="shared" si="172"/>
        <v>584164050</v>
      </c>
      <c r="X177" s="951"/>
      <c r="Y177" s="869">
        <f>+W177-X177</f>
        <v>584164050</v>
      </c>
      <c r="Z177" s="951"/>
      <c r="AA177" s="954"/>
    </row>
    <row r="178" spans="1:27" s="877" customFormat="1" ht="20.25" customHeight="1">
      <c r="A178" s="870">
        <v>5</v>
      </c>
      <c r="B178" s="871" t="s">
        <v>560</v>
      </c>
      <c r="C178" s="875">
        <f t="shared" si="169"/>
        <v>5123944000</v>
      </c>
      <c r="D178" s="872">
        <f t="shared" si="143"/>
        <v>0</v>
      </c>
      <c r="E178" s="872"/>
      <c r="F178" s="872"/>
      <c r="G178" s="872"/>
      <c r="H178" s="872"/>
      <c r="I178" s="872">
        <v>0</v>
      </c>
      <c r="J178" s="872"/>
      <c r="K178" s="875">
        <f t="shared" si="136"/>
        <v>5123944000</v>
      </c>
      <c r="L178" s="873">
        <v>4838000000</v>
      </c>
      <c r="M178" s="1003"/>
      <c r="N178" s="873">
        <v>285944000</v>
      </c>
      <c r="O178" s="873"/>
      <c r="P178" s="873"/>
      <c r="Q178" s="873"/>
      <c r="R178" s="952"/>
      <c r="S178" s="875">
        <f t="shared" si="170"/>
        <v>5122253000</v>
      </c>
      <c r="T178" s="869">
        <v>5122253000</v>
      </c>
      <c r="U178" s="869"/>
      <c r="V178" s="869">
        <f t="shared" si="171"/>
        <v>0</v>
      </c>
      <c r="W178" s="875">
        <f t="shared" si="172"/>
        <v>1691000</v>
      </c>
      <c r="X178" s="869"/>
      <c r="Y178" s="869">
        <f>W178</f>
        <v>1691000</v>
      </c>
      <c r="Z178" s="954"/>
      <c r="AA178" s="954"/>
    </row>
    <row r="179" spans="1:27" s="877" customFormat="1" ht="20.25" customHeight="1">
      <c r="A179" s="870">
        <v>6</v>
      </c>
      <c r="B179" s="871" t="s">
        <v>597</v>
      </c>
      <c r="C179" s="875">
        <f t="shared" si="169"/>
        <v>26118831850</v>
      </c>
      <c r="D179" s="872">
        <f t="shared" si="143"/>
        <v>4715631850</v>
      </c>
      <c r="E179" s="872"/>
      <c r="F179" s="872"/>
      <c r="G179" s="872"/>
      <c r="H179" s="872"/>
      <c r="I179" s="872">
        <v>4715631850</v>
      </c>
      <c r="J179" s="872"/>
      <c r="K179" s="875">
        <f t="shared" si="136"/>
        <v>21403200000</v>
      </c>
      <c r="L179" s="873">
        <f>18342000000+1287000000</f>
        <v>19629000000</v>
      </c>
      <c r="M179" s="991"/>
      <c r="N179" s="873">
        <v>1774200000</v>
      </c>
      <c r="O179" s="952"/>
      <c r="P179" s="952"/>
      <c r="Q179" s="952"/>
      <c r="R179" s="991"/>
      <c r="S179" s="875">
        <f t="shared" si="170"/>
        <v>20870860150</v>
      </c>
      <c r="T179" s="869">
        <v>20870860150</v>
      </c>
      <c r="U179" s="869"/>
      <c r="V179" s="869">
        <f t="shared" si="171"/>
        <v>4715631850</v>
      </c>
      <c r="W179" s="875">
        <f t="shared" si="172"/>
        <v>532339850</v>
      </c>
      <c r="X179" s="869"/>
      <c r="Y179" s="869">
        <f>+W179</f>
        <v>532339850</v>
      </c>
      <c r="Z179" s="954"/>
      <c r="AA179" s="954"/>
    </row>
    <row r="180" spans="1:27" s="877" customFormat="1" ht="20.25" customHeight="1">
      <c r="A180" s="870">
        <v>7</v>
      </c>
      <c r="B180" s="871" t="s">
        <v>94</v>
      </c>
      <c r="C180" s="875">
        <f t="shared" si="169"/>
        <v>171070000</v>
      </c>
      <c r="D180" s="872">
        <f t="shared" si="143"/>
        <v>36700000</v>
      </c>
      <c r="E180" s="872"/>
      <c r="F180" s="872"/>
      <c r="G180" s="872"/>
      <c r="H180" s="872"/>
      <c r="I180" s="872">
        <v>36700000</v>
      </c>
      <c r="J180" s="872"/>
      <c r="K180" s="875">
        <f t="shared" si="136"/>
        <v>134370000</v>
      </c>
      <c r="L180" s="873">
        <f>111000000+48000000</f>
        <v>159000000</v>
      </c>
      <c r="M180" s="991"/>
      <c r="N180" s="873"/>
      <c r="O180" s="873"/>
      <c r="P180" s="873"/>
      <c r="Q180" s="873"/>
      <c r="R180" s="875">
        <v>24630000</v>
      </c>
      <c r="S180" s="875">
        <f>SUM(T180:U180)</f>
        <v>134370000</v>
      </c>
      <c r="T180" s="869">
        <v>23370000</v>
      </c>
      <c r="U180" s="869">
        <v>111000000</v>
      </c>
      <c r="V180" s="869">
        <f t="shared" si="171"/>
        <v>36700000</v>
      </c>
      <c r="W180" s="875">
        <f t="shared" si="172"/>
        <v>0</v>
      </c>
      <c r="X180" s="869"/>
      <c r="Y180" s="869">
        <f t="shared" ref="Y180" si="173">+W180</f>
        <v>0</v>
      </c>
      <c r="Z180" s="954"/>
      <c r="AA180" s="954"/>
    </row>
    <row r="181" spans="1:27" s="877" customFormat="1" ht="20.25" customHeight="1">
      <c r="A181" s="870">
        <v>8</v>
      </c>
      <c r="B181" s="871" t="s">
        <v>549</v>
      </c>
      <c r="C181" s="872">
        <f t="shared" ref="C181" si="174">+D181+K181</f>
        <v>993853042</v>
      </c>
      <c r="D181" s="872">
        <f t="shared" ref="D181" si="175">SUM(E181:J181)</f>
        <v>230797042</v>
      </c>
      <c r="E181" s="872"/>
      <c r="F181" s="872"/>
      <c r="G181" s="872"/>
      <c r="H181" s="872"/>
      <c r="I181" s="872">
        <v>220197042</v>
      </c>
      <c r="J181" s="872">
        <v>10600000</v>
      </c>
      <c r="K181" s="875">
        <f t="shared" si="136"/>
        <v>763056000</v>
      </c>
      <c r="L181" s="873">
        <f>865000000</f>
        <v>865000000</v>
      </c>
      <c r="M181" s="873"/>
      <c r="N181" s="873"/>
      <c r="O181" s="873"/>
      <c r="P181" s="873"/>
      <c r="Q181" s="873"/>
      <c r="R181" s="869">
        <v>101944000</v>
      </c>
      <c r="S181" s="875">
        <f>SUM(T181:U181)</f>
        <v>745056000</v>
      </c>
      <c r="T181" s="869">
        <v>735056000</v>
      </c>
      <c r="U181" s="869">
        <v>10000000</v>
      </c>
      <c r="V181" s="869">
        <f t="shared" si="171"/>
        <v>230797042</v>
      </c>
      <c r="W181" s="875">
        <f>+C181-S181-V181</f>
        <v>18000000</v>
      </c>
      <c r="X181" s="954"/>
      <c r="Y181" s="869">
        <f>+W181-AA181</f>
        <v>0</v>
      </c>
      <c r="Z181" s="954"/>
      <c r="AA181" s="954">
        <v>18000000</v>
      </c>
    </row>
    <row r="182" spans="1:27" s="877" customFormat="1" ht="20.25" customHeight="1">
      <c r="A182" s="870">
        <v>9</v>
      </c>
      <c r="B182" s="871" t="s">
        <v>1030</v>
      </c>
      <c r="C182" s="872">
        <f>+D182+K182</f>
        <v>239938000</v>
      </c>
      <c r="D182" s="872">
        <f t="shared" ref="D182" si="176">SUM(E182:J182)</f>
        <v>0</v>
      </c>
      <c r="E182" s="872"/>
      <c r="F182" s="872"/>
      <c r="G182" s="872"/>
      <c r="H182" s="872"/>
      <c r="I182" s="872"/>
      <c r="J182" s="872"/>
      <c r="K182" s="875">
        <f t="shared" si="136"/>
        <v>239938000</v>
      </c>
      <c r="L182" s="873">
        <v>163000000</v>
      </c>
      <c r="M182" s="873"/>
      <c r="N182" s="873">
        <v>76938000</v>
      </c>
      <c r="O182" s="873"/>
      <c r="P182" s="873"/>
      <c r="Q182" s="873"/>
      <c r="R182" s="869"/>
      <c r="S182" s="875">
        <f>SUM(T182:U182)</f>
        <v>236622300</v>
      </c>
      <c r="T182" s="869">
        <v>236622300</v>
      </c>
      <c r="U182" s="869"/>
      <c r="V182" s="869">
        <f>+I182</f>
        <v>0</v>
      </c>
      <c r="W182" s="875">
        <f t="shared" si="172"/>
        <v>3315700</v>
      </c>
      <c r="X182" s="954"/>
      <c r="Y182" s="869">
        <f>+W182</f>
        <v>3315700</v>
      </c>
      <c r="Z182" s="954"/>
      <c r="AA182" s="954"/>
    </row>
    <row r="183" spans="1:27" s="877" customFormat="1" ht="20.25" customHeight="1">
      <c r="A183" s="870">
        <v>10</v>
      </c>
      <c r="B183" s="871" t="s">
        <v>537</v>
      </c>
      <c r="C183" s="875">
        <f t="shared" ref="C183:C186" si="177">+D183+K183</f>
        <v>211459420</v>
      </c>
      <c r="D183" s="872">
        <f t="shared" ref="D183:D184" si="178">SUM(E183:J183)</f>
        <v>35603420</v>
      </c>
      <c r="E183" s="872"/>
      <c r="F183" s="872"/>
      <c r="G183" s="872"/>
      <c r="H183" s="872"/>
      <c r="I183" s="872">
        <v>35603420</v>
      </c>
      <c r="J183" s="872"/>
      <c r="K183" s="875">
        <f t="shared" si="136"/>
        <v>175856000</v>
      </c>
      <c r="L183" s="873">
        <v>157000000</v>
      </c>
      <c r="M183" s="991"/>
      <c r="N183" s="873">
        <v>18856000</v>
      </c>
      <c r="O183" s="873"/>
      <c r="P183" s="873"/>
      <c r="Q183" s="873"/>
      <c r="R183" s="952"/>
      <c r="S183" s="875">
        <f t="shared" ref="S183:S184" si="179">SUM(T183:U183)</f>
        <v>135689993</v>
      </c>
      <c r="T183" s="869">
        <v>135689993</v>
      </c>
      <c r="U183" s="869"/>
      <c r="V183" s="869">
        <f t="shared" ref="V183:V192" si="180">+I183+J183</f>
        <v>35603420</v>
      </c>
      <c r="W183" s="875">
        <f t="shared" si="172"/>
        <v>40166007</v>
      </c>
      <c r="X183" s="869"/>
      <c r="Y183" s="869">
        <f>W183</f>
        <v>40166007</v>
      </c>
      <c r="Z183" s="869"/>
      <c r="AA183" s="954"/>
    </row>
    <row r="184" spans="1:27" s="877" customFormat="1" ht="20.25" customHeight="1">
      <c r="A184" s="870">
        <v>11</v>
      </c>
      <c r="B184" s="871" t="s">
        <v>694</v>
      </c>
      <c r="C184" s="875">
        <f t="shared" si="177"/>
        <v>969120678</v>
      </c>
      <c r="D184" s="872">
        <f t="shared" si="178"/>
        <v>32868678</v>
      </c>
      <c r="E184" s="872"/>
      <c r="F184" s="872"/>
      <c r="G184" s="872"/>
      <c r="H184" s="872"/>
      <c r="I184" s="872">
        <v>32868678</v>
      </c>
      <c r="J184" s="872"/>
      <c r="K184" s="875">
        <f t="shared" si="136"/>
        <v>936252000</v>
      </c>
      <c r="L184" s="873">
        <v>936252000</v>
      </c>
      <c r="M184" s="991"/>
      <c r="O184" s="873"/>
      <c r="P184" s="873"/>
      <c r="Q184" s="873"/>
      <c r="R184" s="952"/>
      <c r="S184" s="875">
        <f t="shared" si="179"/>
        <v>936252000</v>
      </c>
      <c r="T184" s="869">
        <f>+L184</f>
        <v>936252000</v>
      </c>
      <c r="U184" s="869"/>
      <c r="V184" s="869">
        <f t="shared" si="180"/>
        <v>32868678</v>
      </c>
      <c r="W184" s="875">
        <f t="shared" si="172"/>
        <v>0</v>
      </c>
      <c r="X184" s="869"/>
      <c r="Y184" s="869">
        <f>+W184</f>
        <v>0</v>
      </c>
      <c r="Z184" s="869"/>
      <c r="AA184" s="954"/>
    </row>
    <row r="185" spans="1:27" s="877" customFormat="1" ht="20.25" customHeight="1">
      <c r="A185" s="870">
        <v>12</v>
      </c>
      <c r="B185" s="871" t="s">
        <v>695</v>
      </c>
      <c r="C185" s="875">
        <f t="shared" si="177"/>
        <v>1540793</v>
      </c>
      <c r="D185" s="872">
        <f>SUM(E185:J185)</f>
        <v>1540793</v>
      </c>
      <c r="E185" s="872"/>
      <c r="F185" s="872"/>
      <c r="G185" s="872"/>
      <c r="H185" s="872"/>
      <c r="I185" s="872">
        <v>1540793</v>
      </c>
      <c r="J185" s="872"/>
      <c r="K185" s="875">
        <f t="shared" si="136"/>
        <v>0</v>
      </c>
      <c r="L185" s="873"/>
      <c r="M185" s="991"/>
      <c r="N185" s="873"/>
      <c r="O185" s="873"/>
      <c r="P185" s="873"/>
      <c r="Q185" s="873"/>
      <c r="R185" s="952"/>
      <c r="S185" s="875">
        <f>SUM(T185:U185)</f>
        <v>0</v>
      </c>
      <c r="T185" s="869"/>
      <c r="U185" s="869"/>
      <c r="V185" s="869">
        <f t="shared" si="180"/>
        <v>1540793</v>
      </c>
      <c r="W185" s="875">
        <f t="shared" si="172"/>
        <v>0</v>
      </c>
      <c r="X185" s="869"/>
      <c r="Y185" s="869">
        <f>+W185</f>
        <v>0</v>
      </c>
      <c r="Z185" s="869"/>
      <c r="AA185" s="954"/>
    </row>
    <row r="186" spans="1:27" s="877" customFormat="1" ht="20.25" customHeight="1">
      <c r="A186" s="870">
        <v>13</v>
      </c>
      <c r="B186" s="871" t="s">
        <v>1008</v>
      </c>
      <c r="C186" s="875">
        <f t="shared" si="177"/>
        <v>1050000000</v>
      </c>
      <c r="D186" s="872">
        <f t="shared" ref="D186" si="181">SUM(E186:J186)</f>
        <v>0</v>
      </c>
      <c r="E186" s="872"/>
      <c r="F186" s="872"/>
      <c r="G186" s="872"/>
      <c r="H186" s="872"/>
      <c r="I186" s="872">
        <v>0</v>
      </c>
      <c r="J186" s="872"/>
      <c r="K186" s="875">
        <f t="shared" si="136"/>
        <v>1050000000</v>
      </c>
      <c r="L186" s="873">
        <v>1050000000</v>
      </c>
      <c r="M186" s="991"/>
      <c r="N186" s="982"/>
      <c r="O186" s="982"/>
      <c r="P186" s="982"/>
      <c r="Q186" s="982"/>
      <c r="R186" s="952"/>
      <c r="S186" s="875">
        <f t="shared" ref="S186" si="182">SUM(T186:U186)</f>
        <v>801339786</v>
      </c>
      <c r="T186" s="869">
        <v>801339786</v>
      </c>
      <c r="U186" s="869"/>
      <c r="V186" s="869">
        <f t="shared" si="180"/>
        <v>0</v>
      </c>
      <c r="W186" s="875">
        <f t="shared" si="172"/>
        <v>248660214</v>
      </c>
      <c r="X186" s="869"/>
      <c r="Y186" s="983">
        <f>+W186</f>
        <v>248660214</v>
      </c>
      <c r="Z186" s="954"/>
      <c r="AA186" s="954"/>
    </row>
    <row r="187" spans="1:27" s="877" customFormat="1" ht="20.25" customHeight="1">
      <c r="A187" s="870">
        <v>14</v>
      </c>
      <c r="B187" s="871" t="s">
        <v>662</v>
      </c>
      <c r="C187" s="875">
        <f t="shared" si="169"/>
        <v>2447000000</v>
      </c>
      <c r="D187" s="872">
        <f t="shared" si="143"/>
        <v>0</v>
      </c>
      <c r="E187" s="872"/>
      <c r="F187" s="872"/>
      <c r="G187" s="872"/>
      <c r="H187" s="872"/>
      <c r="I187" s="872">
        <v>0</v>
      </c>
      <c r="J187" s="982"/>
      <c r="K187" s="875">
        <f t="shared" si="136"/>
        <v>2447000000</v>
      </c>
      <c r="L187" s="873">
        <v>2447000000</v>
      </c>
      <c r="M187" s="991"/>
      <c r="N187" s="873"/>
      <c r="O187" s="873"/>
      <c r="P187" s="873"/>
      <c r="Q187" s="873"/>
      <c r="R187" s="952"/>
      <c r="S187" s="875">
        <f t="shared" si="170"/>
        <v>2049843000</v>
      </c>
      <c r="T187" s="869">
        <v>2049843000</v>
      </c>
      <c r="U187" s="869"/>
      <c r="V187" s="869">
        <f t="shared" si="180"/>
        <v>0</v>
      </c>
      <c r="W187" s="875">
        <f t="shared" si="172"/>
        <v>397157000</v>
      </c>
      <c r="X187" s="869"/>
      <c r="Y187" s="869">
        <f>W187</f>
        <v>397157000</v>
      </c>
      <c r="Z187" s="954"/>
      <c r="AA187" s="954"/>
    </row>
    <row r="188" spans="1:27" s="877" customFormat="1" ht="20.25" customHeight="1">
      <c r="A188" s="870">
        <v>15</v>
      </c>
      <c r="B188" s="871" t="s">
        <v>663</v>
      </c>
      <c r="C188" s="875">
        <f t="shared" si="169"/>
        <v>1355448758</v>
      </c>
      <c r="D188" s="872">
        <f t="shared" si="143"/>
        <v>5935824</v>
      </c>
      <c r="E188" s="872"/>
      <c r="F188" s="872"/>
      <c r="G188" s="872"/>
      <c r="H188" s="872"/>
      <c r="I188" s="872">
        <v>5935824</v>
      </c>
      <c r="J188" s="872"/>
      <c r="K188" s="875">
        <f t="shared" si="136"/>
        <v>1349512934</v>
      </c>
      <c r="L188" s="873">
        <v>1179000000</v>
      </c>
      <c r="M188" s="991"/>
      <c r="N188" s="873">
        <v>297985000</v>
      </c>
      <c r="O188" s="873"/>
      <c r="P188" s="873"/>
      <c r="Q188" s="873"/>
      <c r="R188" s="875">
        <v>127472066</v>
      </c>
      <c r="S188" s="875">
        <f t="shared" si="170"/>
        <v>1345662934</v>
      </c>
      <c r="T188" s="869">
        <v>1345662934</v>
      </c>
      <c r="U188" s="869"/>
      <c r="V188" s="869">
        <f t="shared" si="180"/>
        <v>5935824</v>
      </c>
      <c r="W188" s="875">
        <f t="shared" si="172"/>
        <v>3850000</v>
      </c>
      <c r="X188" s="869"/>
      <c r="Y188" s="983">
        <f t="shared" ref="Y188:Y192" si="183">+W188</f>
        <v>3850000</v>
      </c>
      <c r="Z188" s="954"/>
      <c r="AA188" s="954"/>
    </row>
    <row r="189" spans="1:27" s="877" customFormat="1" ht="32.25" customHeight="1">
      <c r="A189" s="870">
        <v>16</v>
      </c>
      <c r="B189" s="871" t="s">
        <v>1026</v>
      </c>
      <c r="C189" s="875">
        <f t="shared" si="169"/>
        <v>7000000</v>
      </c>
      <c r="D189" s="872">
        <f t="shared" si="143"/>
        <v>0</v>
      </c>
      <c r="E189" s="872"/>
      <c r="F189" s="872"/>
      <c r="G189" s="872"/>
      <c r="H189" s="872"/>
      <c r="I189" s="872">
        <v>0</v>
      </c>
      <c r="J189" s="872"/>
      <c r="K189" s="875">
        <f t="shared" si="136"/>
        <v>7000000</v>
      </c>
      <c r="L189" s="873"/>
      <c r="M189" s="991"/>
      <c r="N189" s="873">
        <v>7000000</v>
      </c>
      <c r="O189" s="873"/>
      <c r="P189" s="873"/>
      <c r="Q189" s="873"/>
      <c r="R189" s="952"/>
      <c r="S189" s="875">
        <f t="shared" si="170"/>
        <v>7000000</v>
      </c>
      <c r="T189" s="869"/>
      <c r="U189" s="869">
        <f>+N189</f>
        <v>7000000</v>
      </c>
      <c r="V189" s="869">
        <f t="shared" si="180"/>
        <v>0</v>
      </c>
      <c r="W189" s="875">
        <f t="shared" si="172"/>
        <v>0</v>
      </c>
      <c r="X189" s="954"/>
      <c r="Y189" s="954">
        <f t="shared" si="183"/>
        <v>0</v>
      </c>
      <c r="Z189" s="954"/>
      <c r="AA189" s="954"/>
    </row>
    <row r="190" spans="1:27" s="877" customFormat="1" ht="28.9" customHeight="1">
      <c r="A190" s="870">
        <v>17</v>
      </c>
      <c r="B190" s="871" t="s">
        <v>693</v>
      </c>
      <c r="C190" s="875">
        <f t="shared" si="169"/>
        <v>714331629</v>
      </c>
      <c r="D190" s="872">
        <f>SUM(E190:J190)</f>
        <v>421369629</v>
      </c>
      <c r="E190" s="872"/>
      <c r="F190" s="872"/>
      <c r="G190" s="872"/>
      <c r="H190" s="872"/>
      <c r="I190" s="872">
        <v>421369629</v>
      </c>
      <c r="J190" s="872"/>
      <c r="K190" s="875">
        <f t="shared" si="136"/>
        <v>292962000</v>
      </c>
      <c r="L190" s="873"/>
      <c r="M190" s="873">
        <v>355000000</v>
      </c>
      <c r="N190" s="873"/>
      <c r="O190" s="873"/>
      <c r="P190" s="873"/>
      <c r="Q190" s="873"/>
      <c r="R190" s="875">
        <v>62038000</v>
      </c>
      <c r="S190" s="875">
        <f>SUM(T190:U190)</f>
        <v>212440000</v>
      </c>
      <c r="T190" s="869">
        <v>212440000</v>
      </c>
      <c r="U190" s="869"/>
      <c r="V190" s="869">
        <f t="shared" si="180"/>
        <v>421369629</v>
      </c>
      <c r="W190" s="875">
        <f t="shared" si="172"/>
        <v>80522000</v>
      </c>
      <c r="X190" s="954"/>
      <c r="Y190" s="983">
        <f t="shared" si="183"/>
        <v>80522000</v>
      </c>
      <c r="Z190" s="954"/>
      <c r="AA190" s="954"/>
    </row>
    <row r="191" spans="1:27" s="877" customFormat="1" ht="23.45" customHeight="1">
      <c r="A191" s="870">
        <v>18</v>
      </c>
      <c r="B191" s="871" t="s">
        <v>1015</v>
      </c>
      <c r="C191" s="875">
        <f t="shared" si="169"/>
        <v>148000000</v>
      </c>
      <c r="D191" s="872">
        <f>SUM(E191:J191)</f>
        <v>0</v>
      </c>
      <c r="E191" s="872"/>
      <c r="F191" s="872"/>
      <c r="G191" s="872"/>
      <c r="H191" s="872"/>
      <c r="I191" s="872">
        <v>0</v>
      </c>
      <c r="J191" s="872"/>
      <c r="K191" s="875">
        <f t="shared" si="136"/>
        <v>148000000</v>
      </c>
      <c r="L191" s="873"/>
      <c r="M191" s="873">
        <v>148000000</v>
      </c>
      <c r="N191" s="873"/>
      <c r="O191" s="873"/>
      <c r="P191" s="873"/>
      <c r="Q191" s="873"/>
      <c r="R191" s="875"/>
      <c r="S191" s="875">
        <f>SUM(T191:U191)</f>
        <v>148000000</v>
      </c>
      <c r="T191" s="869">
        <f>+M191</f>
        <v>148000000</v>
      </c>
      <c r="U191" s="869"/>
      <c r="V191" s="869">
        <f t="shared" si="180"/>
        <v>0</v>
      </c>
      <c r="W191" s="875">
        <f t="shared" si="172"/>
        <v>0</v>
      </c>
      <c r="X191" s="954"/>
      <c r="Y191" s="954">
        <f t="shared" si="183"/>
        <v>0</v>
      </c>
      <c r="Z191" s="954"/>
      <c r="AA191" s="954"/>
    </row>
    <row r="192" spans="1:27" s="877" customFormat="1" ht="27.6" customHeight="1">
      <c r="A192" s="870">
        <v>19</v>
      </c>
      <c r="B192" s="871" t="s">
        <v>1022</v>
      </c>
      <c r="C192" s="875">
        <f t="shared" si="169"/>
        <v>135823000</v>
      </c>
      <c r="D192" s="872">
        <f>SUM(E192:J192)</f>
        <v>0</v>
      </c>
      <c r="E192" s="872"/>
      <c r="F192" s="872"/>
      <c r="G192" s="872"/>
      <c r="H192" s="872"/>
      <c r="I192" s="872">
        <v>0</v>
      </c>
      <c r="J192" s="872"/>
      <c r="K192" s="875">
        <f t="shared" si="136"/>
        <v>135823000</v>
      </c>
      <c r="L192" s="873"/>
      <c r="M192" s="991"/>
      <c r="N192" s="951">
        <v>135823000</v>
      </c>
      <c r="O192" s="873"/>
      <c r="P192" s="873"/>
      <c r="Q192" s="873"/>
      <c r="R192" s="875"/>
      <c r="S192" s="875">
        <f>SUM(T192:U192)</f>
        <v>135823000</v>
      </c>
      <c r="T192" s="869">
        <f>+N192</f>
        <v>135823000</v>
      </c>
      <c r="U192" s="869"/>
      <c r="V192" s="869">
        <f t="shared" si="180"/>
        <v>0</v>
      </c>
      <c r="W192" s="875">
        <f t="shared" si="172"/>
        <v>0</v>
      </c>
      <c r="X192" s="954"/>
      <c r="Y192" s="954">
        <f t="shared" si="183"/>
        <v>0</v>
      </c>
      <c r="Z192" s="954"/>
      <c r="AA192" s="954"/>
    </row>
    <row r="193" spans="1:27" s="877" customFormat="1" ht="15" customHeight="1">
      <c r="A193" s="870">
        <v>20</v>
      </c>
      <c r="B193" s="871" t="s">
        <v>1013</v>
      </c>
      <c r="C193" s="872">
        <f t="shared" ref="C193" si="184">+D193+K193</f>
        <v>497908671</v>
      </c>
      <c r="D193" s="872"/>
      <c r="E193" s="872"/>
      <c r="F193" s="872"/>
      <c r="G193" s="872"/>
      <c r="H193" s="872"/>
      <c r="I193" s="872"/>
      <c r="J193" s="872"/>
      <c r="K193" s="875">
        <f t="shared" si="136"/>
        <v>497908671</v>
      </c>
      <c r="L193" s="873"/>
      <c r="M193" s="873">
        <v>500000000</v>
      </c>
      <c r="N193" s="873"/>
      <c r="O193" s="873"/>
      <c r="P193" s="873"/>
      <c r="Q193" s="873"/>
      <c r="R193" s="875">
        <v>2091329</v>
      </c>
      <c r="S193" s="875">
        <f t="shared" ref="S193" si="185">SUM(T193:U193)</f>
        <v>497908671</v>
      </c>
      <c r="T193" s="869">
        <f>+M193-R193</f>
        <v>497908671</v>
      </c>
      <c r="U193" s="869"/>
      <c r="V193" s="869"/>
      <c r="W193" s="875">
        <f t="shared" si="172"/>
        <v>0</v>
      </c>
      <c r="X193" s="869"/>
      <c r="Y193" s="983"/>
      <c r="Z193" s="954"/>
      <c r="AA193" s="1004"/>
    </row>
    <row r="194" spans="1:27" s="877" customFormat="1" ht="36.75" customHeight="1">
      <c r="A194" s="870">
        <v>21</v>
      </c>
      <c r="B194" s="871" t="s">
        <v>1014</v>
      </c>
      <c r="C194" s="875">
        <f t="shared" si="169"/>
        <v>1682853000</v>
      </c>
      <c r="D194" s="872">
        <f t="shared" si="143"/>
        <v>0</v>
      </c>
      <c r="E194" s="872"/>
      <c r="F194" s="872"/>
      <c r="G194" s="872"/>
      <c r="H194" s="872"/>
      <c r="I194" s="872"/>
      <c r="J194" s="872"/>
      <c r="K194" s="875">
        <f t="shared" si="136"/>
        <v>1682853000</v>
      </c>
      <c r="L194" s="873"/>
      <c r="M194" s="872"/>
      <c r="N194" s="872">
        <f>469929000+797582000+118099000+297243000</f>
        <v>1682853000</v>
      </c>
      <c r="O194" s="872"/>
      <c r="P194" s="872"/>
      <c r="Q194" s="872"/>
      <c r="R194" s="952"/>
      <c r="S194" s="875">
        <f t="shared" si="170"/>
        <v>1682853000</v>
      </c>
      <c r="T194" s="869">
        <f>165348000+133571000</f>
        <v>298919000</v>
      </c>
      <c r="U194" s="869">
        <f>+N194-T194</f>
        <v>1383934000</v>
      </c>
      <c r="V194" s="869"/>
      <c r="W194" s="875">
        <f t="shared" si="172"/>
        <v>0</v>
      </c>
      <c r="X194" s="954"/>
      <c r="Y194" s="869"/>
      <c r="Z194" s="954"/>
      <c r="AA194" s="954"/>
    </row>
    <row r="195" spans="1:27" s="877" customFormat="1" ht="31.5" customHeight="1">
      <c r="A195" s="870">
        <v>22</v>
      </c>
      <c r="B195" s="871" t="s">
        <v>633</v>
      </c>
      <c r="C195" s="872">
        <f t="shared" si="169"/>
        <v>152574908</v>
      </c>
      <c r="D195" s="872">
        <f t="shared" si="143"/>
        <v>0</v>
      </c>
      <c r="E195" s="872">
        <v>0</v>
      </c>
      <c r="F195" s="872"/>
      <c r="G195" s="872"/>
      <c r="H195" s="872"/>
      <c r="I195" s="872"/>
      <c r="J195" s="872"/>
      <c r="K195" s="875">
        <f t="shared" si="136"/>
        <v>152574908</v>
      </c>
      <c r="L195" s="873"/>
      <c r="M195" s="872"/>
      <c r="N195" s="872">
        <f>36500000+116074908</f>
        <v>152574908</v>
      </c>
      <c r="O195" s="872"/>
      <c r="P195" s="872"/>
      <c r="Q195" s="872"/>
      <c r="R195" s="952"/>
      <c r="S195" s="875">
        <f t="shared" si="170"/>
        <v>152574908</v>
      </c>
      <c r="T195" s="869"/>
      <c r="U195" s="869">
        <f>+N195+E195</f>
        <v>152574908</v>
      </c>
      <c r="V195" s="869"/>
      <c r="W195" s="875">
        <f t="shared" si="172"/>
        <v>0</v>
      </c>
      <c r="X195" s="954">
        <v>0</v>
      </c>
      <c r="Y195" s="869"/>
      <c r="Z195" s="954"/>
      <c r="AA195" s="954"/>
    </row>
    <row r="196" spans="1:27" s="877" customFormat="1" ht="18" customHeight="1">
      <c r="A196" s="870">
        <v>23</v>
      </c>
      <c r="B196" s="871" t="s">
        <v>1009</v>
      </c>
      <c r="C196" s="872">
        <f t="shared" si="169"/>
        <v>6835293000</v>
      </c>
      <c r="D196" s="872">
        <f t="shared" si="143"/>
        <v>0</v>
      </c>
      <c r="E196" s="872">
        <v>0</v>
      </c>
      <c r="F196" s="872"/>
      <c r="G196" s="872"/>
      <c r="H196" s="872"/>
      <c r="I196" s="872"/>
      <c r="J196" s="872"/>
      <c r="K196" s="875">
        <f t="shared" si="136"/>
        <v>6835293000</v>
      </c>
      <c r="L196" s="873"/>
      <c r="M196" s="873">
        <v>7077000000</v>
      </c>
      <c r="N196" s="873"/>
      <c r="O196" s="873"/>
      <c r="P196" s="873"/>
      <c r="Q196" s="873"/>
      <c r="R196" s="869">
        <v>241707000</v>
      </c>
      <c r="S196" s="875">
        <f t="shared" si="170"/>
        <v>6835293000</v>
      </c>
      <c r="T196" s="869">
        <v>6835293000</v>
      </c>
      <c r="U196" s="869"/>
      <c r="V196" s="869"/>
      <c r="W196" s="875">
        <f t="shared" si="172"/>
        <v>0</v>
      </c>
      <c r="X196" s="869">
        <v>0</v>
      </c>
      <c r="Y196" s="983"/>
      <c r="Z196" s="954"/>
      <c r="AA196" s="954"/>
    </row>
    <row r="197" spans="1:27" s="877" customFormat="1" ht="26.25" customHeight="1">
      <c r="A197" s="870">
        <v>24</v>
      </c>
      <c r="B197" s="871" t="s">
        <v>1021</v>
      </c>
      <c r="C197" s="872">
        <f t="shared" si="169"/>
        <v>4474000000</v>
      </c>
      <c r="D197" s="872">
        <f t="shared" si="143"/>
        <v>0</v>
      </c>
      <c r="E197" s="872">
        <v>0</v>
      </c>
      <c r="F197" s="872"/>
      <c r="G197" s="872"/>
      <c r="H197" s="872"/>
      <c r="I197" s="872"/>
      <c r="J197" s="872"/>
      <c r="K197" s="875">
        <f t="shared" si="136"/>
        <v>4474000000</v>
      </c>
      <c r="L197" s="873"/>
      <c r="M197" s="873"/>
      <c r="N197" s="873">
        <v>4474000000</v>
      </c>
      <c r="O197" s="873"/>
      <c r="P197" s="873"/>
      <c r="Q197" s="873"/>
      <c r="R197" s="952"/>
      <c r="S197" s="875">
        <f t="shared" si="170"/>
        <v>4474000000</v>
      </c>
      <c r="T197" s="869"/>
      <c r="U197" s="869">
        <f>+N197</f>
        <v>4474000000</v>
      </c>
      <c r="V197" s="869">
        <f>+I197+J197</f>
        <v>0</v>
      </c>
      <c r="W197" s="875">
        <f t="shared" si="172"/>
        <v>0</v>
      </c>
      <c r="X197" s="869">
        <v>0</v>
      </c>
      <c r="Y197" s="983"/>
      <c r="Z197" s="954"/>
      <c r="AA197" s="954"/>
    </row>
    <row r="198" spans="1:27" s="877" customFormat="1" ht="24.75" customHeight="1">
      <c r="A198" s="870">
        <v>25</v>
      </c>
      <c r="B198" s="871" t="s">
        <v>1012</v>
      </c>
      <c r="C198" s="872">
        <f t="shared" si="169"/>
        <v>7465118000</v>
      </c>
      <c r="D198" s="872">
        <f t="shared" si="143"/>
        <v>49722000</v>
      </c>
      <c r="E198" s="872"/>
      <c r="F198" s="872"/>
      <c r="G198" s="872"/>
      <c r="H198" s="872"/>
      <c r="I198" s="872">
        <v>45630000</v>
      </c>
      <c r="J198" s="872">
        <v>4092000</v>
      </c>
      <c r="K198" s="875">
        <f t="shared" si="136"/>
        <v>7415396000</v>
      </c>
      <c r="L198" s="873"/>
      <c r="M198" s="873"/>
      <c r="N198" s="873">
        <f>7126026000+297958000</f>
        <v>7423984000</v>
      </c>
      <c r="O198" s="873"/>
      <c r="P198" s="873"/>
      <c r="Q198" s="873"/>
      <c r="R198" s="869">
        <v>8588000</v>
      </c>
      <c r="S198" s="875">
        <f t="shared" si="170"/>
        <v>7415396000</v>
      </c>
      <c r="T198" s="869"/>
      <c r="U198" s="869">
        <v>7415396000</v>
      </c>
      <c r="V198" s="869">
        <f>+I198+J198</f>
        <v>49722000</v>
      </c>
      <c r="W198" s="875">
        <f t="shared" si="172"/>
        <v>0</v>
      </c>
      <c r="X198" s="869"/>
      <c r="Y198" s="983"/>
      <c r="Z198" s="954"/>
      <c r="AA198" s="954"/>
    </row>
    <row r="199" spans="1:27" s="877" customFormat="1" ht="23.25" customHeight="1">
      <c r="A199" s="870">
        <v>26</v>
      </c>
      <c r="B199" s="871" t="s">
        <v>1023</v>
      </c>
      <c r="C199" s="872">
        <f t="shared" si="169"/>
        <v>49858619032</v>
      </c>
      <c r="D199" s="872">
        <f t="shared" ref="D199" si="186">SUM(E199:J199)</f>
        <v>2271455079</v>
      </c>
      <c r="E199" s="872">
        <f>1681852340-E177</f>
        <v>1486056500</v>
      </c>
      <c r="F199" s="872">
        <v>785398579</v>
      </c>
      <c r="G199" s="872"/>
      <c r="H199" s="872"/>
      <c r="I199" s="872"/>
      <c r="J199" s="872"/>
      <c r="K199" s="875">
        <f t="shared" si="136"/>
        <v>47587163953</v>
      </c>
      <c r="L199" s="1005"/>
      <c r="M199" s="1005"/>
      <c r="N199" s="873">
        <v>41962000000</v>
      </c>
      <c r="O199" s="873">
        <f>3532600000+Z199</f>
        <v>5625163953</v>
      </c>
      <c r="P199" s="873"/>
      <c r="Q199" s="873"/>
      <c r="R199" s="1005"/>
      <c r="S199" s="875">
        <f t="shared" si="170"/>
        <v>43627631079</v>
      </c>
      <c r="T199" s="869">
        <f>33012447640-13531000</f>
        <v>32998916640</v>
      </c>
      <c r="U199" s="869">
        <v>10628714439</v>
      </c>
      <c r="V199" s="869"/>
      <c r="W199" s="875">
        <f t="shared" si="172"/>
        <v>6230987953</v>
      </c>
      <c r="X199" s="869">
        <v>4138424000</v>
      </c>
      <c r="Y199" s="983"/>
      <c r="Z199" s="951">
        <v>2092563953</v>
      </c>
      <c r="AA199" s="954"/>
    </row>
    <row r="200" spans="1:27" s="877" customFormat="1" ht="21.75" customHeight="1">
      <c r="A200" s="870">
        <v>27</v>
      </c>
      <c r="B200" s="871" t="s">
        <v>1010</v>
      </c>
      <c r="C200" s="872">
        <f t="shared" ref="C200:C201" si="187">+D200+K200</f>
        <v>991844100</v>
      </c>
      <c r="D200" s="872">
        <f t="shared" ref="D200:D201" si="188">SUM(E200:J200)</f>
        <v>0</v>
      </c>
      <c r="E200" s="872"/>
      <c r="F200" s="872"/>
      <c r="G200" s="872"/>
      <c r="H200" s="872"/>
      <c r="I200" s="872">
        <v>0</v>
      </c>
      <c r="J200" s="872"/>
      <c r="K200" s="875">
        <f t="shared" si="136"/>
        <v>991844100</v>
      </c>
      <c r="L200" s="873"/>
      <c r="M200" s="873"/>
      <c r="N200" s="873">
        <v>1000000000</v>
      </c>
      <c r="O200" s="873"/>
      <c r="P200" s="873"/>
      <c r="Q200" s="873"/>
      <c r="R200" s="1005">
        <v>8155900</v>
      </c>
      <c r="S200" s="875">
        <f t="shared" ref="S200:S201" si="189">SUM(T200:U200)</f>
        <v>991844100</v>
      </c>
      <c r="T200" s="869">
        <v>991844100</v>
      </c>
      <c r="U200" s="869"/>
      <c r="V200" s="869">
        <f>+I200+J200</f>
        <v>0</v>
      </c>
      <c r="W200" s="875">
        <f t="shared" si="172"/>
        <v>0</v>
      </c>
      <c r="X200" s="869"/>
      <c r="Y200" s="983">
        <f>+W200</f>
        <v>0</v>
      </c>
      <c r="Z200" s="954"/>
      <c r="AA200" s="954"/>
    </row>
    <row r="201" spans="1:27" s="877" customFormat="1" ht="14.25" customHeight="1">
      <c r="A201" s="870">
        <v>28</v>
      </c>
      <c r="B201" s="1006" t="s">
        <v>1032</v>
      </c>
      <c r="C201" s="872">
        <f t="shared" si="187"/>
        <v>4390852328</v>
      </c>
      <c r="D201" s="872">
        <f t="shared" si="188"/>
        <v>0</v>
      </c>
      <c r="E201" s="872"/>
      <c r="F201" s="872"/>
      <c r="G201" s="872"/>
      <c r="H201" s="872"/>
      <c r="I201" s="872"/>
      <c r="J201" s="872">
        <v>0</v>
      </c>
      <c r="K201" s="875">
        <f t="shared" si="136"/>
        <v>4390852328</v>
      </c>
      <c r="L201" s="873">
        <f>155234000+4235618328</f>
        <v>4390852328</v>
      </c>
      <c r="M201" s="873"/>
      <c r="N201" s="873"/>
      <c r="O201" s="873"/>
      <c r="P201" s="873"/>
      <c r="Q201" s="873"/>
      <c r="R201" s="952"/>
      <c r="S201" s="875">
        <f t="shared" si="189"/>
        <v>4235618328</v>
      </c>
      <c r="T201" s="1007">
        <f>3035.152828*1000000</f>
        <v>3035152828</v>
      </c>
      <c r="U201" s="1007">
        <f>1000000*1200.4655</f>
        <v>1200465500</v>
      </c>
      <c r="V201" s="869">
        <f>+I201+J201</f>
        <v>0</v>
      </c>
      <c r="W201" s="875">
        <f t="shared" si="172"/>
        <v>155234000</v>
      </c>
      <c r="X201" s="951">
        <v>155234000</v>
      </c>
      <c r="Y201" s="875"/>
      <c r="Z201" s="951"/>
      <c r="AA201" s="951">
        <v>0</v>
      </c>
    </row>
    <row r="202" spans="1:27" s="877" customFormat="1" ht="15" customHeight="1">
      <c r="A202" s="870">
        <v>29</v>
      </c>
      <c r="B202" s="871" t="s">
        <v>1024</v>
      </c>
      <c r="C202" s="872">
        <f t="shared" si="169"/>
        <v>18813147268</v>
      </c>
      <c r="D202" s="872">
        <f>SUM(E202:J202)</f>
        <v>83558300</v>
      </c>
      <c r="E202" s="873">
        <v>83558300</v>
      </c>
      <c r="F202" s="874"/>
      <c r="G202" s="874"/>
      <c r="H202" s="874"/>
      <c r="I202" s="874"/>
      <c r="J202" s="874"/>
      <c r="K202" s="875">
        <f t="shared" si="136"/>
        <v>18729588968</v>
      </c>
      <c r="L202" s="874">
        <f>+X202+Z202-O202-D202</f>
        <v>18729588968</v>
      </c>
      <c r="M202" s="874"/>
      <c r="N202" s="874"/>
      <c r="O202" s="874"/>
      <c r="P202" s="874"/>
      <c r="Q202" s="874"/>
      <c r="R202" s="874"/>
      <c r="S202" s="875">
        <f>SUM(T202:U202)</f>
        <v>0</v>
      </c>
      <c r="T202" s="876"/>
      <c r="U202" s="876"/>
      <c r="V202" s="869"/>
      <c r="W202" s="875">
        <f t="shared" si="172"/>
        <v>18813147268</v>
      </c>
      <c r="X202" s="876">
        <v>15474988000</v>
      </c>
      <c r="Y202" s="876"/>
      <c r="Z202" s="876">
        <v>3338159268</v>
      </c>
      <c r="AA202" s="876"/>
    </row>
    <row r="203" spans="1:27" s="877" customFormat="1" ht="15" customHeight="1">
      <c r="A203" s="870">
        <v>30</v>
      </c>
      <c r="B203" s="871" t="s">
        <v>471</v>
      </c>
      <c r="C203" s="872">
        <f t="shared" si="169"/>
        <v>372496490717</v>
      </c>
      <c r="D203" s="872">
        <f>SUM(E203:J203)</f>
        <v>7915289634</v>
      </c>
      <c r="E203" s="1005">
        <v>4733328403</v>
      </c>
      <c r="F203" s="1005">
        <f>209934003+1995598111</f>
        <v>2205532114</v>
      </c>
      <c r="G203" s="1005"/>
      <c r="H203" s="1005"/>
      <c r="I203" s="1005">
        <v>201268499</v>
      </c>
      <c r="J203" s="1005">
        <f>16534734+730457884+28168000</f>
        <v>775160618</v>
      </c>
      <c r="K203" s="875">
        <f>+L203+M203+N203+O203+P203-Q203-R203</f>
        <v>364581201083</v>
      </c>
      <c r="L203" s="1005">
        <f>334820927822-L201</f>
        <v>330430075494</v>
      </c>
      <c r="M203" s="873">
        <v>0</v>
      </c>
      <c r="N203" s="873"/>
      <c r="O203" s="873">
        <v>34151125589</v>
      </c>
      <c r="P203" s="873"/>
      <c r="Q203" s="873"/>
      <c r="R203" s="1005"/>
      <c r="S203" s="875">
        <f>SUM(T203:U203)</f>
        <v>363951271297</v>
      </c>
      <c r="T203" s="995">
        <f>255009708191-7519495696-100-21533002+2</f>
        <v>247468679395</v>
      </c>
      <c r="U203" s="995">
        <f>116779844902-297253000</f>
        <v>116482591902</v>
      </c>
      <c r="V203" s="869">
        <v>100</v>
      </c>
      <c r="W203" s="875">
        <f>+C203-S203-V203</f>
        <v>8545219320</v>
      </c>
      <c r="X203" s="869">
        <v>4289604048</v>
      </c>
      <c r="Y203" s="995">
        <f>1493161464-29920000-279642987+21533000-10000</f>
        <v>1205121477</v>
      </c>
      <c r="Z203" s="869">
        <v>2951829000</v>
      </c>
      <c r="AA203" s="1008">
        <v>98654795</v>
      </c>
    </row>
    <row r="204" spans="1:27" s="941" customFormat="1" ht="15" customHeight="1">
      <c r="A204" s="946" t="s">
        <v>403</v>
      </c>
      <c r="B204" s="947" t="s">
        <v>467</v>
      </c>
      <c r="C204" s="939">
        <f t="shared" ref="C204:L204" si="190">+C205</f>
        <v>387282478</v>
      </c>
      <c r="D204" s="939">
        <f t="shared" si="190"/>
        <v>0</v>
      </c>
      <c r="E204" s="939">
        <f t="shared" si="190"/>
        <v>0</v>
      </c>
      <c r="F204" s="939">
        <f t="shared" si="190"/>
        <v>0</v>
      </c>
      <c r="G204" s="939">
        <f t="shared" si="190"/>
        <v>0</v>
      </c>
      <c r="H204" s="939">
        <f t="shared" si="190"/>
        <v>0</v>
      </c>
      <c r="I204" s="939">
        <f t="shared" si="190"/>
        <v>0</v>
      </c>
      <c r="J204" s="939">
        <f t="shared" si="190"/>
        <v>0</v>
      </c>
      <c r="K204" s="939">
        <f t="shared" si="190"/>
        <v>387282478</v>
      </c>
      <c r="L204" s="939">
        <f t="shared" si="190"/>
        <v>387282478</v>
      </c>
      <c r="M204" s="939">
        <f t="shared" ref="M204" si="191">+M205</f>
        <v>0</v>
      </c>
      <c r="N204" s="939">
        <f t="shared" ref="N204" si="192">+N205</f>
        <v>0</v>
      </c>
      <c r="O204" s="939">
        <f t="shared" ref="O204" si="193">+O205</f>
        <v>0</v>
      </c>
      <c r="P204" s="939">
        <f t="shared" ref="P204" si="194">+P205</f>
        <v>0</v>
      </c>
      <c r="Q204" s="939">
        <f t="shared" ref="Q204" si="195">+Q205</f>
        <v>0</v>
      </c>
      <c r="R204" s="939">
        <f t="shared" ref="R204" si="196">+R205</f>
        <v>0</v>
      </c>
      <c r="S204" s="939">
        <f>+S205</f>
        <v>387282478</v>
      </c>
      <c r="T204" s="939">
        <f t="shared" ref="T204" si="197">+T205</f>
        <v>355978478</v>
      </c>
      <c r="U204" s="939">
        <f t="shared" ref="U204" si="198">+U205</f>
        <v>31304000</v>
      </c>
      <c r="V204" s="939">
        <f t="shared" ref="V204" si="199">+V205</f>
        <v>0</v>
      </c>
      <c r="W204" s="939">
        <f t="shared" ref="W204" si="200">+W205</f>
        <v>0</v>
      </c>
      <c r="X204" s="939">
        <f t="shared" ref="X204" si="201">+X205</f>
        <v>0</v>
      </c>
      <c r="Y204" s="939">
        <f t="shared" ref="Y204" si="202">+Y205</f>
        <v>0</v>
      </c>
      <c r="Z204" s="939">
        <f t="shared" ref="Z204" si="203">+Z205</f>
        <v>0</v>
      </c>
      <c r="AA204" s="939">
        <f t="shared" ref="AA204" si="204">+AA205</f>
        <v>0</v>
      </c>
    </row>
    <row r="205" spans="1:27" s="877" customFormat="1" ht="15" customHeight="1">
      <c r="A205" s="1009" t="s">
        <v>117</v>
      </c>
      <c r="B205" s="1010" t="s">
        <v>1031</v>
      </c>
      <c r="C205" s="1011">
        <f t="shared" si="169"/>
        <v>387282478</v>
      </c>
      <c r="D205" s="1011">
        <f>SUM(E205:J205)</f>
        <v>0</v>
      </c>
      <c r="E205" s="1011"/>
      <c r="F205" s="1011"/>
      <c r="G205" s="1011"/>
      <c r="H205" s="1011"/>
      <c r="I205" s="1011"/>
      <c r="J205" s="1011"/>
      <c r="K205" s="875">
        <f t="shared" si="136"/>
        <v>387282478</v>
      </c>
      <c r="L205" s="1011">
        <f>+T205+U205</f>
        <v>387282478</v>
      </c>
      <c r="M205" s="1011"/>
      <c r="N205" s="1011"/>
      <c r="O205" s="1011"/>
      <c r="P205" s="1011"/>
      <c r="Q205" s="1011"/>
      <c r="R205" s="1011"/>
      <c r="S205" s="1012">
        <f t="shared" si="170"/>
        <v>387282478</v>
      </c>
      <c r="T205" s="1012">
        <v>355978478</v>
      </c>
      <c r="U205" s="1012">
        <v>31304000</v>
      </c>
      <c r="V205" s="1012"/>
      <c r="W205" s="1012">
        <f>+C205-S205-V205</f>
        <v>0</v>
      </c>
      <c r="X205" s="1012"/>
      <c r="Y205" s="1012"/>
      <c r="Z205" s="1012"/>
      <c r="AA205" s="1012"/>
    </row>
  </sheetData>
  <mergeCells count="40">
    <mergeCell ref="Z3:AA3"/>
    <mergeCell ref="A1:D1"/>
    <mergeCell ref="N1:R1"/>
    <mergeCell ref="O6:O8"/>
    <mergeCell ref="D5:D8"/>
    <mergeCell ref="R6:R8"/>
    <mergeCell ref="E6:F7"/>
    <mergeCell ref="I6:J7"/>
    <mergeCell ref="L5:R5"/>
    <mergeCell ref="N6:N8"/>
    <mergeCell ref="G6:H6"/>
    <mergeCell ref="G7:H7"/>
    <mergeCell ref="P6:Q6"/>
    <mergeCell ref="P7:P8"/>
    <mergeCell ref="Q7:Q8"/>
    <mergeCell ref="Z1:AA1"/>
    <mergeCell ref="A2:AA2"/>
    <mergeCell ref="A4:A8"/>
    <mergeCell ref="B4:B8"/>
    <mergeCell ref="D4:J4"/>
    <mergeCell ref="W4:AA4"/>
    <mergeCell ref="K4:R4"/>
    <mergeCell ref="C4:C8"/>
    <mergeCell ref="Z5:AA5"/>
    <mergeCell ref="T5:U5"/>
    <mergeCell ref="Z6:Z8"/>
    <mergeCell ref="T6:T8"/>
    <mergeCell ref="L6:L8"/>
    <mergeCell ref="M6:M8"/>
    <mergeCell ref="E5:J5"/>
    <mergeCell ref="K5:K8"/>
    <mergeCell ref="X6:X8"/>
    <mergeCell ref="AA6:AA8"/>
    <mergeCell ref="S4:U4"/>
    <mergeCell ref="V4:V8"/>
    <mergeCell ref="U6:U8"/>
    <mergeCell ref="W5:W8"/>
    <mergeCell ref="X5:Y5"/>
    <mergeCell ref="Y6:Y8"/>
    <mergeCell ref="S5:S8"/>
  </mergeCells>
  <phoneticPr fontId="32" type="noConversion"/>
  <pageMargins left="0.24" right="0.16" top="0.76" bottom="0.34" header="0.6" footer="0.19"/>
  <pageSetup paperSize="8" scale="85" orientation="landscape"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O23"/>
  <sheetViews>
    <sheetView workbookViewId="0">
      <selection activeCell="O8" sqref="O8"/>
    </sheetView>
  </sheetViews>
  <sheetFormatPr defaultColWidth="9.28515625" defaultRowHeight="15.75"/>
  <cols>
    <col min="1" max="1" width="4.7109375" style="155" customWidth="1"/>
    <col min="2" max="2" width="47.7109375" style="60" customWidth="1"/>
    <col min="3" max="3" width="17.5703125" style="60" customWidth="1"/>
    <col min="4" max="4" width="18" style="156" customWidth="1"/>
    <col min="5" max="5" width="16.42578125" style="156" customWidth="1"/>
    <col min="6" max="6" width="1.7109375" style="112" hidden="1" customWidth="1"/>
    <col min="7" max="7" width="3.5703125" style="37" hidden="1" customWidth="1"/>
    <col min="8" max="8" width="16.28515625" style="114" customWidth="1"/>
    <col min="9" max="9" width="16.7109375" style="115" customWidth="1"/>
    <col min="10" max="10" width="16" style="115" customWidth="1"/>
    <col min="11" max="11" width="16.42578125" style="115" customWidth="1"/>
    <col min="12" max="12" width="16.28515625" style="115" customWidth="1"/>
    <col min="13" max="13" width="16.7109375" style="115" customWidth="1"/>
    <col min="14" max="14" width="15.7109375" style="115" customWidth="1"/>
    <col min="15" max="15" width="16.28515625" style="37" customWidth="1"/>
    <col min="16" max="16384" width="9.28515625" style="37"/>
  </cols>
  <sheetData>
    <row r="1" spans="1:15" ht="20.25">
      <c r="A1" s="1836" t="s">
        <v>581</v>
      </c>
      <c r="B1" s="1836"/>
      <c r="C1" s="1836"/>
      <c r="D1" s="1836"/>
      <c r="E1" s="1836"/>
      <c r="F1" s="1836"/>
      <c r="G1" s="1836"/>
      <c r="H1" s="1836"/>
      <c r="I1" s="1836"/>
      <c r="J1" s="1836"/>
      <c r="K1" s="1836"/>
      <c r="L1" s="1836"/>
      <c r="M1" s="1836"/>
      <c r="N1" s="1836"/>
    </row>
    <row r="2" spans="1:15" ht="33.75" customHeight="1">
      <c r="A2" s="1837" t="s">
        <v>740</v>
      </c>
      <c r="B2" s="1837"/>
      <c r="C2" s="1837"/>
      <c r="D2" s="1837"/>
      <c r="E2" s="1837"/>
      <c r="F2" s="1837"/>
      <c r="G2" s="1837"/>
      <c r="H2" s="1837"/>
      <c r="I2" s="1837"/>
      <c r="J2" s="1837"/>
      <c r="K2" s="1837"/>
      <c r="L2" s="1837"/>
      <c r="M2" s="1837"/>
      <c r="N2" s="1837"/>
    </row>
    <row r="3" spans="1:15" ht="19.5">
      <c r="A3" s="108"/>
      <c r="B3" s="109"/>
      <c r="C3" s="109"/>
      <c r="D3" s="110"/>
      <c r="E3" s="111"/>
      <c r="G3" s="113"/>
      <c r="L3" s="116"/>
      <c r="M3" s="117"/>
      <c r="N3" s="117"/>
    </row>
    <row r="4" spans="1:15" ht="21" customHeight="1">
      <c r="A4" s="1838" t="s">
        <v>582</v>
      </c>
      <c r="B4" s="1838" t="s">
        <v>583</v>
      </c>
      <c r="C4" s="1838" t="s">
        <v>559</v>
      </c>
      <c r="D4" s="1841" t="s">
        <v>192</v>
      </c>
      <c r="E4" s="1841" t="s">
        <v>193</v>
      </c>
      <c r="F4" s="1843" t="s">
        <v>584</v>
      </c>
      <c r="G4" s="1838" t="s">
        <v>585</v>
      </c>
      <c r="H4" s="1843" t="s">
        <v>586</v>
      </c>
      <c r="I4" s="1833" t="s">
        <v>248</v>
      </c>
      <c r="J4" s="1833"/>
      <c r="K4" s="1833" t="s">
        <v>587</v>
      </c>
      <c r="L4" s="1834" t="s">
        <v>552</v>
      </c>
      <c r="M4" s="1833" t="s">
        <v>209</v>
      </c>
      <c r="N4" s="1833"/>
    </row>
    <row r="5" spans="1:15" ht="19.5" customHeight="1">
      <c r="A5" s="1839"/>
      <c r="B5" s="1839"/>
      <c r="C5" s="1840"/>
      <c r="D5" s="1842"/>
      <c r="E5" s="1842"/>
      <c r="F5" s="1840"/>
      <c r="G5" s="1840"/>
      <c r="H5" s="1844"/>
      <c r="I5" s="118" t="s">
        <v>550</v>
      </c>
      <c r="J5" s="118" t="s">
        <v>551</v>
      </c>
      <c r="K5" s="1673"/>
      <c r="L5" s="1835"/>
      <c r="M5" s="106" t="s">
        <v>192</v>
      </c>
      <c r="N5" s="106" t="s">
        <v>193</v>
      </c>
    </row>
    <row r="6" spans="1:15" ht="30" customHeight="1">
      <c r="A6" s="119" t="s">
        <v>316</v>
      </c>
      <c r="B6" s="120" t="s">
        <v>588</v>
      </c>
      <c r="C6" s="121">
        <f>+C7+C9+C11</f>
        <v>33928329458</v>
      </c>
      <c r="D6" s="121">
        <f>+D7+D9+D11</f>
        <v>30338749559</v>
      </c>
      <c r="E6" s="121">
        <f>+E7+E9+E11</f>
        <v>3589579899</v>
      </c>
      <c r="F6" s="121">
        <f>F8</f>
        <v>0</v>
      </c>
      <c r="G6" s="121">
        <f>G8</f>
        <v>0</v>
      </c>
      <c r="H6" s="121">
        <f>+H15</f>
        <v>4516372358</v>
      </c>
      <c r="I6" s="121">
        <f>+I15</f>
        <v>2696268535</v>
      </c>
      <c r="J6" s="121">
        <f>+J15</f>
        <v>1820103823</v>
      </c>
      <c r="K6" s="61">
        <f>+K15</f>
        <v>20000000000</v>
      </c>
      <c r="L6" s="59">
        <f>C6-H6-K6</f>
        <v>9411957100</v>
      </c>
      <c r="M6" s="61">
        <f>+D6-I6-K6</f>
        <v>7642481024</v>
      </c>
      <c r="N6" s="61">
        <f>+E6-J6</f>
        <v>1769476076</v>
      </c>
    </row>
    <row r="7" spans="1:15" ht="27" customHeight="1">
      <c r="A7" s="119" t="s">
        <v>318</v>
      </c>
      <c r="B7" s="120" t="s">
        <v>589</v>
      </c>
      <c r="C7" s="201">
        <f>+C8</f>
        <v>26580455051</v>
      </c>
      <c r="D7" s="121">
        <f t="shared" ref="D7:N7" si="0">+D8</f>
        <v>24696921228</v>
      </c>
      <c r="E7" s="121">
        <f t="shared" si="0"/>
        <v>1883533823</v>
      </c>
      <c r="F7" s="121">
        <f t="shared" si="0"/>
        <v>0</v>
      </c>
      <c r="G7" s="121">
        <f t="shared" si="0"/>
        <v>0</v>
      </c>
      <c r="H7" s="121">
        <f t="shared" si="0"/>
        <v>0</v>
      </c>
      <c r="I7" s="121">
        <f t="shared" si="0"/>
        <v>0</v>
      </c>
      <c r="J7" s="121">
        <f t="shared" si="0"/>
        <v>0</v>
      </c>
      <c r="K7" s="121">
        <f t="shared" si="0"/>
        <v>0</v>
      </c>
      <c r="L7" s="121">
        <f t="shared" si="0"/>
        <v>0</v>
      </c>
      <c r="M7" s="121">
        <f t="shared" si="0"/>
        <v>0</v>
      </c>
      <c r="N7" s="121">
        <f t="shared" si="0"/>
        <v>0</v>
      </c>
      <c r="O7" s="113"/>
    </row>
    <row r="8" spans="1:15" ht="39" customHeight="1">
      <c r="A8" s="122">
        <v>1</v>
      </c>
      <c r="B8" s="123" t="s">
        <v>590</v>
      </c>
      <c r="C8" s="124">
        <f>SUM(D8:E8)</f>
        <v>26580455051</v>
      </c>
      <c r="D8" s="125">
        <v>24696921228</v>
      </c>
      <c r="E8" s="125">
        <v>1883533823</v>
      </c>
      <c r="F8" s="126"/>
      <c r="G8" s="127"/>
      <c r="H8" s="126"/>
      <c r="I8" s="126"/>
      <c r="J8" s="126"/>
      <c r="K8" s="126"/>
      <c r="L8" s="126">
        <f>SUM(L19:L20)</f>
        <v>0</v>
      </c>
      <c r="M8" s="128"/>
      <c r="N8" s="128"/>
    </row>
    <row r="9" spans="1:15" s="41" customFormat="1" ht="26.25" customHeight="1">
      <c r="A9" s="42" t="s">
        <v>149</v>
      </c>
      <c r="B9" s="81" t="s">
        <v>591</v>
      </c>
      <c r="C9" s="202">
        <f>+C10</f>
        <v>4365000000</v>
      </c>
      <c r="D9" s="135">
        <f>+D10</f>
        <v>4365000000</v>
      </c>
      <c r="E9" s="135"/>
      <c r="F9" s="131"/>
      <c r="G9" s="132"/>
      <c r="H9" s="131"/>
      <c r="I9" s="131"/>
      <c r="J9" s="131"/>
      <c r="K9" s="131"/>
      <c r="L9" s="131"/>
      <c r="M9" s="133"/>
      <c r="N9" s="133"/>
    </row>
    <row r="10" spans="1:15" ht="26.25" customHeight="1">
      <c r="A10" s="43">
        <v>4</v>
      </c>
      <c r="B10" s="82" t="s">
        <v>592</v>
      </c>
      <c r="C10" s="129">
        <f>SUM(D10:E10)</f>
        <v>4365000000</v>
      </c>
      <c r="D10" s="134">
        <v>4365000000</v>
      </c>
      <c r="E10" s="134"/>
      <c r="F10" s="131"/>
      <c r="G10" s="132"/>
      <c r="H10" s="131"/>
      <c r="I10" s="131"/>
      <c r="J10" s="131"/>
      <c r="K10" s="131"/>
      <c r="L10" s="131"/>
      <c r="M10" s="133"/>
      <c r="N10" s="133"/>
    </row>
    <row r="11" spans="1:15" s="41" customFormat="1" ht="26.25" customHeight="1">
      <c r="A11" s="42" t="s">
        <v>64</v>
      </c>
      <c r="B11" s="81" t="s">
        <v>593</v>
      </c>
      <c r="C11" s="135">
        <f>SUM(C12:C14)</f>
        <v>2982874407</v>
      </c>
      <c r="D11" s="135">
        <f t="shared" ref="D11:L11" si="1">SUM(D12:D14)</f>
        <v>1276828331</v>
      </c>
      <c r="E11" s="135">
        <f t="shared" si="1"/>
        <v>1706046076</v>
      </c>
      <c r="F11" s="135">
        <f t="shared" si="1"/>
        <v>0</v>
      </c>
      <c r="G11" s="135">
        <f t="shared" si="1"/>
        <v>0</v>
      </c>
      <c r="H11" s="135">
        <f t="shared" si="1"/>
        <v>0</v>
      </c>
      <c r="I11" s="135">
        <f t="shared" si="1"/>
        <v>0</v>
      </c>
      <c r="J11" s="135">
        <f t="shared" si="1"/>
        <v>0</v>
      </c>
      <c r="K11" s="135">
        <f t="shared" si="1"/>
        <v>0</v>
      </c>
      <c r="L11" s="135">
        <f t="shared" si="1"/>
        <v>0</v>
      </c>
      <c r="M11" s="135">
        <f>SUM(M12:M15)</f>
        <v>0</v>
      </c>
      <c r="N11" s="135">
        <f>SUM(N12:N15)</f>
        <v>0</v>
      </c>
    </row>
    <row r="12" spans="1:15" ht="29.25" customHeight="1">
      <c r="A12" s="43">
        <v>5</v>
      </c>
      <c r="B12" s="82" t="s">
        <v>652</v>
      </c>
      <c r="C12" s="129">
        <f>SUM(D12:E12)</f>
        <v>96247930</v>
      </c>
      <c r="D12" s="136">
        <v>96247930</v>
      </c>
      <c r="E12" s="136"/>
      <c r="F12" s="131"/>
      <c r="G12" s="132"/>
      <c r="H12" s="131"/>
      <c r="I12" s="131"/>
      <c r="J12" s="131"/>
      <c r="K12" s="131"/>
      <c r="L12" s="131"/>
      <c r="M12" s="133"/>
      <c r="N12" s="133"/>
    </row>
    <row r="13" spans="1:15" ht="29.25" customHeight="1">
      <c r="A13" s="43">
        <v>5</v>
      </c>
      <c r="B13" s="82" t="s">
        <v>594</v>
      </c>
      <c r="C13" s="129">
        <f>SUM(D13:E13)</f>
        <v>1180580401</v>
      </c>
      <c r="D13" s="136">
        <f>1244010401-63430000</f>
        <v>1180580401</v>
      </c>
      <c r="E13" s="136"/>
      <c r="F13" s="131"/>
      <c r="G13" s="132"/>
      <c r="H13" s="131"/>
      <c r="I13" s="131"/>
      <c r="J13" s="131"/>
      <c r="K13" s="131"/>
      <c r="L13" s="131"/>
      <c r="M13" s="133"/>
      <c r="N13" s="133"/>
    </row>
    <row r="14" spans="1:15" ht="29.25" customHeight="1">
      <c r="A14" s="43">
        <v>6</v>
      </c>
      <c r="B14" s="82" t="s">
        <v>651</v>
      </c>
      <c r="C14" s="129">
        <f>SUM(D14:E14)</f>
        <v>1706046076</v>
      </c>
      <c r="D14" s="130"/>
      <c r="E14" s="130">
        <v>1706046076</v>
      </c>
      <c r="F14" s="131"/>
      <c r="G14" s="132"/>
      <c r="H14" s="131"/>
      <c r="I14" s="131"/>
      <c r="J14" s="131"/>
      <c r="K14" s="131"/>
      <c r="L14" s="131"/>
      <c r="M14" s="133"/>
      <c r="N14" s="133"/>
    </row>
    <row r="15" spans="1:15" s="41" customFormat="1" ht="24.75" customHeight="1">
      <c r="A15" s="81" t="s">
        <v>317</v>
      </c>
      <c r="B15" s="81" t="s">
        <v>595</v>
      </c>
      <c r="C15" s="81"/>
      <c r="D15" s="135"/>
      <c r="E15" s="135"/>
      <c r="F15" s="131"/>
      <c r="G15" s="132"/>
      <c r="H15" s="137">
        <f>SUM(H16:H22)</f>
        <v>4516372358</v>
      </c>
      <c r="I15" s="137">
        <f>SUM(I16:I22)</f>
        <v>2696268535</v>
      </c>
      <c r="J15" s="137">
        <f>SUM(J16:J22)</f>
        <v>1820103823</v>
      </c>
      <c r="K15" s="137">
        <f>SUM(K16:K22)</f>
        <v>20000000000</v>
      </c>
      <c r="L15" s="137">
        <f>SUM(L16:L22)</f>
        <v>0</v>
      </c>
      <c r="M15" s="137">
        <f>SUM(M16:M23)</f>
        <v>0</v>
      </c>
      <c r="N15" s="137">
        <f>SUM(N16:N23)</f>
        <v>0</v>
      </c>
    </row>
    <row r="16" spans="1:15" ht="33.75" customHeight="1">
      <c r="A16" s="82">
        <v>1</v>
      </c>
      <c r="B16" s="198" t="s">
        <v>647</v>
      </c>
      <c r="C16" s="82"/>
      <c r="D16" s="134"/>
      <c r="E16" s="134"/>
      <c r="F16" s="138"/>
      <c r="G16" s="139"/>
      <c r="H16" s="140">
        <f t="shared" ref="H16:H23" si="2">SUM(I16:J16)</f>
        <v>77666320</v>
      </c>
      <c r="I16" s="140"/>
      <c r="J16" s="140">
        <v>77666320</v>
      </c>
      <c r="K16" s="140"/>
      <c r="L16" s="138"/>
      <c r="M16" s="141"/>
      <c r="N16" s="141"/>
    </row>
    <row r="17" spans="1:14" ht="33.75" customHeight="1">
      <c r="A17" s="82">
        <v>2</v>
      </c>
      <c r="B17" s="197" t="s">
        <v>648</v>
      </c>
      <c r="C17" s="82"/>
      <c r="D17" s="134"/>
      <c r="E17" s="134"/>
      <c r="F17" s="138"/>
      <c r="G17" s="139"/>
      <c r="H17" s="140">
        <f t="shared" si="2"/>
        <v>561857102</v>
      </c>
      <c r="I17" s="140"/>
      <c r="J17" s="140">
        <v>561857102</v>
      </c>
      <c r="K17" s="140"/>
      <c r="L17" s="138"/>
      <c r="M17" s="141"/>
      <c r="N17" s="141"/>
    </row>
    <row r="18" spans="1:14" ht="33.75" customHeight="1">
      <c r="A18" s="82">
        <v>3</v>
      </c>
      <c r="B18" s="197" t="s">
        <v>653</v>
      </c>
      <c r="C18" s="82"/>
      <c r="D18" s="134"/>
      <c r="E18" s="134"/>
      <c r="F18" s="138"/>
      <c r="G18" s="139"/>
      <c r="H18" s="140">
        <f t="shared" si="2"/>
        <v>186478000</v>
      </c>
      <c r="I18" s="140">
        <v>186478000</v>
      </c>
      <c r="J18" s="140"/>
      <c r="K18" s="140"/>
      <c r="L18" s="138"/>
      <c r="M18" s="141"/>
      <c r="N18" s="141"/>
    </row>
    <row r="19" spans="1:14" s="33" customFormat="1" ht="28.5" customHeight="1">
      <c r="A19" s="142">
        <v>4</v>
      </c>
      <c r="B19" s="197" t="s">
        <v>654</v>
      </c>
      <c r="C19" s="82"/>
      <c r="D19" s="134"/>
      <c r="E19" s="134"/>
      <c r="F19" s="138">
        <v>2209</v>
      </c>
      <c r="G19" s="139" t="s">
        <v>596</v>
      </c>
      <c r="H19" s="140">
        <f t="shared" si="2"/>
        <v>139484727</v>
      </c>
      <c r="I19" s="140">
        <v>139484727</v>
      </c>
      <c r="J19" s="140"/>
      <c r="K19" s="140"/>
      <c r="L19" s="143"/>
      <c r="M19" s="143"/>
      <c r="N19" s="143"/>
    </row>
    <row r="20" spans="1:14" s="33" customFormat="1" ht="19.5" customHeight="1">
      <c r="A20" s="82">
        <v>5</v>
      </c>
      <c r="B20" s="197" t="s">
        <v>649</v>
      </c>
      <c r="C20" s="146"/>
      <c r="D20" s="145"/>
      <c r="E20" s="145"/>
      <c r="F20" s="138"/>
      <c r="G20" s="146"/>
      <c r="H20" s="140">
        <f t="shared" si="2"/>
        <v>1782394558</v>
      </c>
      <c r="I20" s="140">
        <v>1782394558</v>
      </c>
      <c r="J20" s="140"/>
      <c r="K20" s="140"/>
      <c r="L20" s="138"/>
      <c r="M20" s="141"/>
      <c r="N20" s="141"/>
    </row>
    <row r="21" spans="1:14" s="33" customFormat="1" ht="23.25" customHeight="1">
      <c r="A21" s="82">
        <v>6</v>
      </c>
      <c r="B21" s="147" t="s">
        <v>655</v>
      </c>
      <c r="C21" s="146"/>
      <c r="D21" s="145"/>
      <c r="E21" s="145"/>
      <c r="F21" s="138"/>
      <c r="G21" s="146"/>
      <c r="H21" s="140">
        <f t="shared" si="2"/>
        <v>587911250</v>
      </c>
      <c r="I21" s="140">
        <v>587911250</v>
      </c>
      <c r="J21" s="140"/>
      <c r="K21" s="140"/>
      <c r="L21" s="138"/>
      <c r="M21" s="141"/>
      <c r="N21" s="141"/>
    </row>
    <row r="22" spans="1:14" s="33" customFormat="1" ht="26.25" customHeight="1">
      <c r="A22" s="144"/>
      <c r="B22" s="147" t="s">
        <v>656</v>
      </c>
      <c r="C22" s="146"/>
      <c r="D22" s="145"/>
      <c r="E22" s="145"/>
      <c r="F22" s="138"/>
      <c r="G22" s="146"/>
      <c r="H22" s="140">
        <f t="shared" si="2"/>
        <v>1180580401</v>
      </c>
      <c r="I22" s="140"/>
      <c r="J22" s="136">
        <f>+D13</f>
        <v>1180580401</v>
      </c>
      <c r="K22" s="140">
        <v>20000000000</v>
      </c>
      <c r="L22" s="138"/>
      <c r="M22" s="141"/>
      <c r="N22" s="141"/>
    </row>
    <row r="23" spans="1:14" ht="21" customHeight="1">
      <c r="A23" s="148"/>
      <c r="B23" s="149"/>
      <c r="C23" s="150"/>
      <c r="D23" s="151"/>
      <c r="E23" s="151"/>
      <c r="F23" s="152"/>
      <c r="G23" s="150"/>
      <c r="H23" s="153">
        <f t="shared" si="2"/>
        <v>0</v>
      </c>
      <c r="I23" s="152"/>
      <c r="J23" s="152"/>
      <c r="K23" s="152" t="s">
        <v>567</v>
      </c>
      <c r="L23" s="152"/>
      <c r="M23" s="154"/>
      <c r="N23" s="154"/>
    </row>
  </sheetData>
  <mergeCells count="14">
    <mergeCell ref="I4:J4"/>
    <mergeCell ref="K4:K5"/>
    <mergeCell ref="L4:L5"/>
    <mergeCell ref="M4:N4"/>
    <mergeCell ref="A1:N1"/>
    <mergeCell ref="A2:N2"/>
    <mergeCell ref="A4:A5"/>
    <mergeCell ref="B4:B5"/>
    <mergeCell ref="C4:C5"/>
    <mergeCell ref="D4:D5"/>
    <mergeCell ref="E4:E5"/>
    <mergeCell ref="F4:F5"/>
    <mergeCell ref="G4:G5"/>
    <mergeCell ref="H4:H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AP112"/>
  <sheetViews>
    <sheetView topLeftCell="A4" zoomScale="170" zoomScaleNormal="170" workbookViewId="0">
      <pane xSplit="23" ySplit="3" topLeftCell="AE13" activePane="bottomRight" state="frozen"/>
      <selection activeCell="A4" sqref="A4"/>
      <selection pane="topRight" activeCell="X4" sqref="X4"/>
      <selection pane="bottomLeft" activeCell="A7" sqref="A7"/>
      <selection pane="bottomRight" activeCell="AP12" sqref="AP12"/>
    </sheetView>
  </sheetViews>
  <sheetFormatPr defaultRowHeight="15"/>
  <cols>
    <col min="1" max="1" width="3.5703125" style="24" customWidth="1"/>
    <col min="2" max="2" width="17.28515625" style="24" customWidth="1"/>
    <col min="3" max="23" width="0" style="24" hidden="1" customWidth="1"/>
    <col min="24" max="24" width="9.42578125" style="244" customWidth="1"/>
    <col min="25" max="25" width="10.5703125" style="244" customWidth="1"/>
    <col min="26" max="26" width="10.42578125" style="244" customWidth="1"/>
    <col min="27" max="27" width="11.5703125" style="220" customWidth="1"/>
    <col min="28" max="28" width="11.5703125" style="324" customWidth="1"/>
    <col min="29" max="29" width="9.28515625" style="324" customWidth="1"/>
    <col min="30" max="30" width="9.5703125" style="324" customWidth="1"/>
    <col min="31" max="33" width="10" style="324" customWidth="1"/>
    <col min="34" max="40" width="10" style="325" customWidth="1"/>
    <col min="41" max="41" width="16.7109375" bestFit="1" customWidth="1"/>
    <col min="42" max="42" width="12.7109375" bestFit="1" customWidth="1"/>
  </cols>
  <sheetData>
    <row r="2" spans="1:42">
      <c r="X2" s="244">
        <v>1</v>
      </c>
      <c r="Y2" s="244">
        <v>2</v>
      </c>
      <c r="Z2" s="244">
        <v>3</v>
      </c>
      <c r="AA2" s="244">
        <v>4</v>
      </c>
      <c r="AB2" s="276">
        <v>5</v>
      </c>
      <c r="AC2" s="276">
        <v>6</v>
      </c>
      <c r="AD2" s="276">
        <v>7</v>
      </c>
      <c r="AE2" s="276">
        <v>8</v>
      </c>
      <c r="AF2" s="276">
        <v>9</v>
      </c>
      <c r="AG2" s="276">
        <v>10</v>
      </c>
      <c r="AH2" s="276">
        <v>11</v>
      </c>
      <c r="AI2" s="276">
        <v>12</v>
      </c>
      <c r="AJ2" s="276">
        <v>13</v>
      </c>
      <c r="AK2" s="276">
        <v>14</v>
      </c>
      <c r="AL2" s="276">
        <v>15</v>
      </c>
      <c r="AM2" s="276">
        <v>16</v>
      </c>
      <c r="AN2" s="276">
        <v>17</v>
      </c>
    </row>
    <row r="3" spans="1:42" ht="15.75" customHeight="1">
      <c r="A3" s="223"/>
      <c r="B3" s="223"/>
      <c r="C3" s="223"/>
      <c r="D3" s="223"/>
      <c r="E3" s="223"/>
      <c r="F3" s="223"/>
      <c r="G3" s="223"/>
      <c r="H3" s="223"/>
      <c r="I3" s="223"/>
      <c r="J3" s="223"/>
      <c r="K3" s="223"/>
      <c r="L3" s="223"/>
      <c r="M3" s="223"/>
      <c r="N3" s="223"/>
      <c r="O3" s="223"/>
      <c r="P3" s="223"/>
      <c r="Q3" s="223"/>
      <c r="R3" s="223"/>
      <c r="S3" s="223"/>
      <c r="T3" s="223"/>
      <c r="U3" s="223"/>
      <c r="V3" s="223"/>
      <c r="W3" s="223"/>
      <c r="X3" s="277" t="s">
        <v>696</v>
      </c>
      <c r="Y3" s="277" t="s">
        <v>311</v>
      </c>
      <c r="Z3" s="277" t="s">
        <v>697</v>
      </c>
      <c r="AA3" s="277" t="s">
        <v>310</v>
      </c>
      <c r="AB3" s="278" t="s">
        <v>699</v>
      </c>
      <c r="AC3" s="278" t="s">
        <v>700</v>
      </c>
      <c r="AD3" s="278" t="s">
        <v>701</v>
      </c>
      <c r="AE3" s="278" t="s">
        <v>702</v>
      </c>
      <c r="AF3" s="278" t="s">
        <v>703</v>
      </c>
      <c r="AG3" s="278" t="s">
        <v>557</v>
      </c>
      <c r="AH3" s="278" t="s">
        <v>306</v>
      </c>
      <c r="AI3" s="278" t="s">
        <v>309</v>
      </c>
      <c r="AJ3" s="278" t="s">
        <v>704</v>
      </c>
      <c r="AK3" s="278" t="s">
        <v>705</v>
      </c>
      <c r="AL3" s="278" t="s">
        <v>706</v>
      </c>
      <c r="AM3" s="278" t="s">
        <v>308</v>
      </c>
      <c r="AN3" s="278" t="s">
        <v>707</v>
      </c>
    </row>
    <row r="4" spans="1:42">
      <c r="A4" s="223"/>
      <c r="B4" s="223"/>
      <c r="C4" s="223"/>
      <c r="D4" s="223"/>
      <c r="E4" s="223"/>
      <c r="F4" s="223"/>
      <c r="G4" s="223"/>
      <c r="H4" s="223"/>
      <c r="I4" s="223"/>
      <c r="J4" s="223"/>
      <c r="K4" s="223"/>
      <c r="L4" s="223"/>
      <c r="M4" s="223"/>
      <c r="N4" s="223"/>
      <c r="O4" s="223"/>
      <c r="P4" s="223"/>
      <c r="Q4" s="223"/>
      <c r="R4" s="223"/>
      <c r="S4" s="223"/>
      <c r="T4" s="223"/>
      <c r="U4" s="223"/>
      <c r="V4" s="223"/>
      <c r="W4" s="223"/>
      <c r="X4" s="245"/>
      <c r="Y4" s="245"/>
      <c r="Z4" s="245"/>
      <c r="AA4" s="245"/>
      <c r="AB4" s="278"/>
      <c r="AC4" s="278"/>
      <c r="AD4" s="278"/>
      <c r="AE4" s="278"/>
      <c r="AF4" s="278"/>
      <c r="AG4" s="278"/>
      <c r="AH4" s="278"/>
      <c r="AI4" s="278"/>
      <c r="AJ4" s="278"/>
      <c r="AK4" s="278"/>
      <c r="AL4" s="278"/>
      <c r="AM4" s="279"/>
      <c r="AN4" s="279"/>
    </row>
    <row r="5" spans="1:42" s="274" customFormat="1" ht="14.25">
      <c r="A5" s="271"/>
      <c r="B5" s="271" t="s">
        <v>698</v>
      </c>
      <c r="C5" s="271"/>
      <c r="D5" s="271"/>
      <c r="E5" s="271"/>
      <c r="F5" s="271"/>
      <c r="G5" s="271"/>
      <c r="H5" s="271"/>
      <c r="I5" s="271"/>
      <c r="J5" s="271"/>
      <c r="K5" s="271"/>
      <c r="L5" s="271"/>
      <c r="M5" s="271"/>
      <c r="N5" s="271"/>
      <c r="O5" s="271"/>
      <c r="P5" s="271"/>
      <c r="Q5" s="271"/>
      <c r="R5" s="271"/>
      <c r="S5" s="271"/>
      <c r="T5" s="271"/>
      <c r="U5" s="271"/>
      <c r="V5" s="271"/>
      <c r="W5" s="271"/>
      <c r="X5" s="272"/>
      <c r="Y5" s="272"/>
      <c r="Z5" s="272"/>
      <c r="AA5" s="273"/>
      <c r="AB5" s="280"/>
      <c r="AC5" s="280"/>
      <c r="AD5" s="280"/>
      <c r="AE5" s="280"/>
      <c r="AF5" s="280"/>
      <c r="AG5" s="280"/>
      <c r="AH5" s="281"/>
      <c r="AI5" s="281"/>
      <c r="AJ5" s="281"/>
      <c r="AK5" s="281"/>
      <c r="AL5" s="281"/>
      <c r="AM5" s="282"/>
      <c r="AN5" s="282"/>
    </row>
    <row r="6" spans="1:42" s="21" customFormat="1" ht="14.25">
      <c r="A6" s="246"/>
      <c r="B6" s="246" t="s">
        <v>315</v>
      </c>
      <c r="C6" s="246"/>
      <c r="D6" s="246"/>
      <c r="E6" s="246"/>
      <c r="F6" s="246"/>
      <c r="G6" s="246"/>
      <c r="H6" s="246"/>
      <c r="I6" s="246"/>
      <c r="J6" s="246"/>
      <c r="K6" s="246"/>
      <c r="L6" s="246"/>
      <c r="M6" s="246"/>
      <c r="N6" s="246"/>
      <c r="O6" s="246"/>
      <c r="P6" s="246"/>
      <c r="Q6" s="246"/>
      <c r="R6" s="246"/>
      <c r="S6" s="246"/>
      <c r="T6" s="246"/>
      <c r="U6" s="246"/>
      <c r="V6" s="246"/>
      <c r="W6" s="246"/>
      <c r="X6" s="247">
        <f>+X7+X10+X13+X16</f>
        <v>540350000</v>
      </c>
      <c r="Y6" s="247">
        <f t="shared" ref="Y6:AN6" si="0">+Y7+Y10+Y13+Y16</f>
        <v>3390318643</v>
      </c>
      <c r="Z6" s="247">
        <f t="shared" si="0"/>
        <v>3008360000</v>
      </c>
      <c r="AA6" s="248">
        <f t="shared" si="0"/>
        <v>895140000</v>
      </c>
      <c r="AB6" s="283">
        <f t="shared" si="0"/>
        <v>1649817000</v>
      </c>
      <c r="AC6" s="283">
        <f t="shared" si="0"/>
        <v>2084102018</v>
      </c>
      <c r="AD6" s="283">
        <f t="shared" si="0"/>
        <v>2950590000</v>
      </c>
      <c r="AE6" s="283">
        <f t="shared" si="0"/>
        <v>1822835479</v>
      </c>
      <c r="AF6" s="283">
        <f t="shared" si="0"/>
        <v>3479630501</v>
      </c>
      <c r="AG6" s="283">
        <f t="shared" si="0"/>
        <v>798444653</v>
      </c>
      <c r="AH6" s="283">
        <f t="shared" si="0"/>
        <v>2863660000</v>
      </c>
      <c r="AI6" s="283">
        <f t="shared" si="0"/>
        <v>2971793822</v>
      </c>
      <c r="AJ6" s="283">
        <f t="shared" si="0"/>
        <v>3064928320</v>
      </c>
      <c r="AK6" s="283">
        <f t="shared" si="0"/>
        <v>3157087000</v>
      </c>
      <c r="AL6" s="283">
        <f t="shared" si="0"/>
        <v>1571770000</v>
      </c>
      <c r="AM6" s="283">
        <f t="shared" si="0"/>
        <v>3320620637</v>
      </c>
      <c r="AN6" s="283">
        <f t="shared" si="0"/>
        <v>444200000</v>
      </c>
      <c r="AO6" s="275">
        <f>SUM(X6:AN6)</f>
        <v>38013648073</v>
      </c>
    </row>
    <row r="7" spans="1:42" s="214" customFormat="1" ht="28.5" customHeight="1">
      <c r="A7" s="224" t="s">
        <v>62</v>
      </c>
      <c r="B7" s="225" t="s">
        <v>676</v>
      </c>
      <c r="C7" s="226">
        <f>+D7+I7</f>
        <v>4136000000</v>
      </c>
      <c r="D7" s="227">
        <f t="shared" ref="D7:D15" si="1">SUM(E7:H7)</f>
        <v>530000000</v>
      </c>
      <c r="E7" s="227">
        <v>0</v>
      </c>
      <c r="F7" s="227">
        <v>530000000</v>
      </c>
      <c r="G7" s="227">
        <v>0</v>
      </c>
      <c r="H7" s="227">
        <v>0</v>
      </c>
      <c r="I7" s="227">
        <f>SUM(J7:M7)-N7</f>
        <v>3606000000</v>
      </c>
      <c r="J7" s="227">
        <f>SUM(J8:J9)</f>
        <v>0</v>
      </c>
      <c r="K7" s="227">
        <f>SUM(K8:K9)</f>
        <v>3574000000</v>
      </c>
      <c r="L7" s="227">
        <f>SUM(L8:L9)</f>
        <v>32000000</v>
      </c>
      <c r="M7" s="227">
        <f>SUM(M8:M9)</f>
        <v>0</v>
      </c>
      <c r="N7" s="227">
        <f>SUM(N8:N9)</f>
        <v>0</v>
      </c>
      <c r="O7" s="226">
        <f>SUM(P7:Q7)</f>
        <v>0</v>
      </c>
      <c r="P7" s="226">
        <f>SUM(P8:P9)</f>
        <v>0</v>
      </c>
      <c r="Q7" s="226">
        <f>SUM(Q8:Q9)</f>
        <v>0</v>
      </c>
      <c r="R7" s="226">
        <f>SUM(R8:R9)</f>
        <v>0</v>
      </c>
      <c r="S7" s="226">
        <f>+C7-O7-R7</f>
        <v>4136000000</v>
      </c>
      <c r="T7" s="226">
        <f>SUM(T8:T9)</f>
        <v>174000000</v>
      </c>
      <c r="U7" s="226">
        <f>SUM(U8:U9)</f>
        <v>0</v>
      </c>
      <c r="V7" s="226">
        <f>SUM(V8:V9)</f>
        <v>4136000000</v>
      </c>
      <c r="W7" s="226">
        <f>SUM(W8:W9)</f>
        <v>0</v>
      </c>
      <c r="X7" s="228">
        <f>SUM(X8:X9)</f>
        <v>176000000</v>
      </c>
      <c r="Y7" s="228">
        <f t="shared" ref="Y7:AN7" si="2">SUM(Y8:Y9)</f>
        <v>176000000</v>
      </c>
      <c r="Z7" s="228">
        <f t="shared" si="2"/>
        <v>352000000</v>
      </c>
      <c r="AA7" s="221">
        <f>SUM(AA8:AA9)</f>
        <v>88000000</v>
      </c>
      <c r="AB7" s="284">
        <f t="shared" si="2"/>
        <v>792000000</v>
      </c>
      <c r="AC7" s="284">
        <f t="shared" si="2"/>
        <v>88000000</v>
      </c>
      <c r="AD7" s="284">
        <f t="shared" si="2"/>
        <v>264000000</v>
      </c>
      <c r="AE7" s="284">
        <f t="shared" si="2"/>
        <v>176000000</v>
      </c>
      <c r="AF7" s="284">
        <f t="shared" si="2"/>
        <v>638500000</v>
      </c>
      <c r="AG7" s="284">
        <f t="shared" si="2"/>
        <v>44000000</v>
      </c>
      <c r="AH7" s="284">
        <f t="shared" si="2"/>
        <v>484000000</v>
      </c>
      <c r="AI7" s="284">
        <f t="shared" si="2"/>
        <v>44000000</v>
      </c>
      <c r="AJ7" s="284">
        <f t="shared" si="2"/>
        <v>0</v>
      </c>
      <c r="AK7" s="284">
        <f t="shared" si="2"/>
        <v>308000000</v>
      </c>
      <c r="AL7" s="284">
        <f t="shared" si="2"/>
        <v>0</v>
      </c>
      <c r="AM7" s="284">
        <f t="shared" si="2"/>
        <v>220000000</v>
      </c>
      <c r="AN7" s="284">
        <f t="shared" si="2"/>
        <v>44000000</v>
      </c>
      <c r="AO7" s="275">
        <f>SUM(X7:AN7)</f>
        <v>3894500000</v>
      </c>
    </row>
    <row r="8" spans="1:42" s="298" customFormat="1" ht="14.25">
      <c r="A8" s="285" t="s">
        <v>115</v>
      </c>
      <c r="B8" s="286" t="s">
        <v>600</v>
      </c>
      <c r="C8" s="287">
        <f>+D8+I8</f>
        <v>3780000000</v>
      </c>
      <c r="D8" s="236">
        <f t="shared" si="1"/>
        <v>490000000</v>
      </c>
      <c r="E8" s="236"/>
      <c r="F8" s="236">
        <v>490000000</v>
      </c>
      <c r="G8" s="236"/>
      <c r="H8" s="236"/>
      <c r="I8" s="236">
        <f>SUM(J8:M8)-N8</f>
        <v>3290000000</v>
      </c>
      <c r="J8" s="288"/>
      <c r="K8" s="288">
        <v>3290000000</v>
      </c>
      <c r="L8" s="288"/>
      <c r="M8" s="288"/>
      <c r="N8" s="289"/>
      <c r="O8" s="287">
        <f>SUM(P8:Q8)</f>
        <v>0</v>
      </c>
      <c r="P8" s="290"/>
      <c r="Q8" s="290"/>
      <c r="R8" s="291"/>
      <c r="S8" s="287">
        <f>+C8-O8-R8</f>
        <v>3780000000</v>
      </c>
      <c r="T8" s="291">
        <v>170000000</v>
      </c>
      <c r="U8" s="291"/>
      <c r="V8" s="238">
        <f>+S8</f>
        <v>3780000000</v>
      </c>
      <c r="W8" s="239"/>
      <c r="X8" s="292">
        <v>160000000</v>
      </c>
      <c r="Y8" s="293">
        <v>160000000</v>
      </c>
      <c r="Z8" s="292">
        <v>320000000</v>
      </c>
      <c r="AA8" s="292">
        <v>80000000</v>
      </c>
      <c r="AB8" s="294">
        <v>720000000</v>
      </c>
      <c r="AC8" s="295">
        <v>80000000</v>
      </c>
      <c r="AD8" s="295">
        <v>240000000</v>
      </c>
      <c r="AE8" s="295">
        <v>160000000</v>
      </c>
      <c r="AF8" s="295">
        <v>582500000</v>
      </c>
      <c r="AG8" s="295">
        <v>40000000</v>
      </c>
      <c r="AH8" s="295">
        <v>440000000</v>
      </c>
      <c r="AI8" s="295">
        <v>40000000</v>
      </c>
      <c r="AJ8" s="295"/>
      <c r="AK8" s="295">
        <v>280000000</v>
      </c>
      <c r="AL8" s="295"/>
      <c r="AM8" s="296">
        <v>200000000</v>
      </c>
      <c r="AN8" s="296">
        <v>40000000</v>
      </c>
      <c r="AO8" s="297">
        <f t="shared" ref="AO8:AO18" si="3">SUM(X8:AN8)</f>
        <v>3542500000</v>
      </c>
    </row>
    <row r="9" spans="1:42" s="214" customFormat="1" ht="14.25">
      <c r="A9" s="224" t="s">
        <v>115</v>
      </c>
      <c r="B9" s="229" t="s">
        <v>609</v>
      </c>
      <c r="C9" s="226">
        <f>+D9+I9</f>
        <v>356000000</v>
      </c>
      <c r="D9" s="227">
        <f t="shared" si="1"/>
        <v>40000000</v>
      </c>
      <c r="E9" s="227"/>
      <c r="F9" s="227">
        <v>40000000</v>
      </c>
      <c r="G9" s="227"/>
      <c r="H9" s="227"/>
      <c r="I9" s="227">
        <f>SUM(J9:M9)-N9</f>
        <v>316000000</v>
      </c>
      <c r="J9" s="230"/>
      <c r="K9" s="230">
        <v>284000000</v>
      </c>
      <c r="L9" s="230">
        <v>32000000</v>
      </c>
      <c r="M9" s="230"/>
      <c r="N9" s="231"/>
      <c r="O9" s="226">
        <f>SUM(P9:Q9)</f>
        <v>0</v>
      </c>
      <c r="P9" s="232"/>
      <c r="Q9" s="233"/>
      <c r="R9" s="233"/>
      <c r="S9" s="226">
        <f>+C9-O9-R9</f>
        <v>356000000</v>
      </c>
      <c r="T9" s="233">
        <v>4000000</v>
      </c>
      <c r="U9" s="233"/>
      <c r="V9" s="234">
        <f>+S9</f>
        <v>356000000</v>
      </c>
      <c r="W9" s="235"/>
      <c r="X9" s="228">
        <v>16000000</v>
      </c>
      <c r="Y9" s="228">
        <v>16000000</v>
      </c>
      <c r="Z9" s="228">
        <v>32000000</v>
      </c>
      <c r="AA9" s="221">
        <v>8000000</v>
      </c>
      <c r="AB9" s="284">
        <v>72000000</v>
      </c>
      <c r="AC9" s="284">
        <v>8000000</v>
      </c>
      <c r="AD9" s="284">
        <v>24000000</v>
      </c>
      <c r="AE9" s="284">
        <v>16000000</v>
      </c>
      <c r="AF9" s="284">
        <v>56000000</v>
      </c>
      <c r="AG9" s="284">
        <v>4000000</v>
      </c>
      <c r="AH9" s="284">
        <v>44000000</v>
      </c>
      <c r="AI9" s="284">
        <v>4000000</v>
      </c>
      <c r="AJ9" s="284"/>
      <c r="AK9" s="284">
        <v>28000000</v>
      </c>
      <c r="AL9" s="284"/>
      <c r="AM9" s="299">
        <v>20000000</v>
      </c>
      <c r="AN9" s="299">
        <v>4000000</v>
      </c>
      <c r="AO9" s="275">
        <f t="shared" si="3"/>
        <v>352000000</v>
      </c>
    </row>
    <row r="10" spans="1:42" s="214" customFormat="1" ht="33.75">
      <c r="A10" s="224" t="s">
        <v>62</v>
      </c>
      <c r="B10" s="225" t="s">
        <v>608</v>
      </c>
      <c r="C10" s="226">
        <f t="shared" ref="C10:J10" si="4">SUM(C11:C12)</f>
        <v>41934237599</v>
      </c>
      <c r="D10" s="227">
        <f t="shared" si="4"/>
        <v>4417237599</v>
      </c>
      <c r="E10" s="227">
        <f t="shared" si="4"/>
        <v>511199700</v>
      </c>
      <c r="F10" s="227">
        <f t="shared" si="4"/>
        <v>3900831855</v>
      </c>
      <c r="G10" s="227">
        <f t="shared" si="4"/>
        <v>5035900</v>
      </c>
      <c r="H10" s="227">
        <f t="shared" si="4"/>
        <v>170144</v>
      </c>
      <c r="I10" s="227">
        <f t="shared" si="4"/>
        <v>37517000000</v>
      </c>
      <c r="J10" s="227">
        <f t="shared" si="4"/>
        <v>0</v>
      </c>
      <c r="K10" s="227">
        <f>SUM(K11:K12)</f>
        <v>37517000000</v>
      </c>
      <c r="L10" s="227">
        <f t="shared" ref="L10:W10" si="5">SUM(L11:L12)</f>
        <v>0</v>
      </c>
      <c r="M10" s="227">
        <f t="shared" si="5"/>
        <v>0</v>
      </c>
      <c r="N10" s="227">
        <f t="shared" si="5"/>
        <v>0</v>
      </c>
      <c r="O10" s="226">
        <f t="shared" si="5"/>
        <v>40584097181</v>
      </c>
      <c r="P10" s="226">
        <f t="shared" si="5"/>
        <v>8418719100</v>
      </c>
      <c r="Q10" s="226">
        <f t="shared" si="5"/>
        <v>32165378081</v>
      </c>
      <c r="R10" s="226">
        <f t="shared" si="5"/>
        <v>5206044</v>
      </c>
      <c r="S10" s="226">
        <f t="shared" si="5"/>
        <v>1344934374</v>
      </c>
      <c r="T10" s="226">
        <f t="shared" si="5"/>
        <v>0</v>
      </c>
      <c r="U10" s="226">
        <f t="shared" si="5"/>
        <v>111938240</v>
      </c>
      <c r="V10" s="226">
        <f t="shared" si="5"/>
        <v>222959299</v>
      </c>
      <c r="W10" s="226">
        <f t="shared" si="5"/>
        <v>982141688</v>
      </c>
      <c r="X10" s="228">
        <f>SUM(X11:X12)</f>
        <v>364350000</v>
      </c>
      <c r="Y10" s="228">
        <f t="shared" ref="Y10:AN10" si="6">SUM(Y11:Y12)</f>
        <v>2698646114</v>
      </c>
      <c r="Z10" s="228">
        <f t="shared" si="6"/>
        <v>2656360000</v>
      </c>
      <c r="AA10" s="221">
        <f t="shared" si="6"/>
        <v>807140000</v>
      </c>
      <c r="AB10" s="284">
        <f t="shared" si="6"/>
        <v>857817000</v>
      </c>
      <c r="AC10" s="284">
        <f t="shared" si="6"/>
        <v>1996102018</v>
      </c>
      <c r="AD10" s="284">
        <f t="shared" si="6"/>
        <v>2686590000</v>
      </c>
      <c r="AE10" s="284">
        <f t="shared" si="6"/>
        <v>1646835479</v>
      </c>
      <c r="AF10" s="284">
        <f t="shared" si="6"/>
        <v>2617770372</v>
      </c>
      <c r="AG10" s="284">
        <f t="shared" si="6"/>
        <v>754444653</v>
      </c>
      <c r="AH10" s="284">
        <f t="shared" si="6"/>
        <v>2379660000</v>
      </c>
      <c r="AI10" s="284">
        <f t="shared" si="6"/>
        <v>2927793822</v>
      </c>
      <c r="AJ10" s="284">
        <f t="shared" si="6"/>
        <v>3064928320</v>
      </c>
      <c r="AK10" s="284">
        <f t="shared" si="6"/>
        <v>2849087000</v>
      </c>
      <c r="AL10" s="284">
        <f t="shared" si="6"/>
        <v>1571770000</v>
      </c>
      <c r="AM10" s="299">
        <f t="shared" si="6"/>
        <v>3100620637</v>
      </c>
      <c r="AN10" s="299">
        <f t="shared" si="6"/>
        <v>400200000</v>
      </c>
      <c r="AO10" s="275">
        <f t="shared" si="3"/>
        <v>33380115415</v>
      </c>
    </row>
    <row r="11" spans="1:42" s="314" customFormat="1" ht="14.25">
      <c r="A11" s="300" t="s">
        <v>115</v>
      </c>
      <c r="B11" s="301" t="s">
        <v>600</v>
      </c>
      <c r="C11" s="302">
        <f t="shared" ref="C11:C18" si="7">+D11+I11</f>
        <v>39994141555</v>
      </c>
      <c r="D11" s="303">
        <f t="shared" si="1"/>
        <v>4399141555</v>
      </c>
      <c r="E11" s="303">
        <v>498309700</v>
      </c>
      <c r="F11" s="303">
        <f>4639864513-F14</f>
        <v>3900831855</v>
      </c>
      <c r="G11" s="303">
        <v>0</v>
      </c>
      <c r="H11" s="303"/>
      <c r="I11" s="303">
        <f>SUM(J11:M11)-N11</f>
        <v>35595000000</v>
      </c>
      <c r="J11" s="304"/>
      <c r="K11" s="304">
        <v>35595000000</v>
      </c>
      <c r="L11" s="304"/>
      <c r="M11" s="304"/>
      <c r="N11" s="305"/>
      <c r="O11" s="302">
        <f>SUM(P11:Q11)</f>
        <v>38661621083</v>
      </c>
      <c r="P11" s="306">
        <f>475200000+4850900+7525685900</f>
        <v>8005736800</v>
      </c>
      <c r="Q11" s="306">
        <f>27497884283+3158000000</f>
        <v>30655884283</v>
      </c>
      <c r="R11" s="307"/>
      <c r="S11" s="302">
        <f>+C11-O11-R11</f>
        <v>1332520472</v>
      </c>
      <c r="T11" s="307"/>
      <c r="U11" s="307">
        <v>108774440</v>
      </c>
      <c r="V11" s="308">
        <f>82896300+140062999</f>
        <v>222959299</v>
      </c>
      <c r="W11" s="309">
        <f>379759077+602382611</f>
        <v>982141688</v>
      </c>
      <c r="X11" s="292">
        <f>345680000</f>
        <v>345680000</v>
      </c>
      <c r="Y11" s="292">
        <f>251246114+2322000000</f>
        <v>2573246114</v>
      </c>
      <c r="Z11" s="310">
        <f>211370000+2319750000</f>
        <v>2531120000</v>
      </c>
      <c r="AA11" s="292">
        <f>71540000+695190000</f>
        <v>766730000</v>
      </c>
      <c r="AB11" s="311">
        <f>165717000+649400000</f>
        <v>815117000</v>
      </c>
      <c r="AC11" s="311">
        <f>389818458+1532039660</f>
        <v>1921858118</v>
      </c>
      <c r="AD11" s="311">
        <v>2548950000</v>
      </c>
      <c r="AE11" s="311">
        <f>13975479+1547500000</f>
        <v>1561475479</v>
      </c>
      <c r="AF11" s="311">
        <f>162420372+2329560000</f>
        <v>2491980372</v>
      </c>
      <c r="AG11" s="311">
        <f>242994653+485300000</f>
        <v>728294653</v>
      </c>
      <c r="AH11" s="311">
        <f>193660000+2074000000</f>
        <v>2267660000</v>
      </c>
      <c r="AI11" s="311">
        <f>480543822+2321900000</f>
        <v>2802443822</v>
      </c>
      <c r="AJ11" s="311">
        <f>377058320+2550160000</f>
        <v>2927218320</v>
      </c>
      <c r="AK11" s="311">
        <f>399207000+2324380000</f>
        <v>2723587000</v>
      </c>
      <c r="AL11" s="311">
        <f>490960000+1020510000</f>
        <v>1511470000</v>
      </c>
      <c r="AM11" s="312">
        <f>414480637+2548540000</f>
        <v>2963020637</v>
      </c>
      <c r="AN11" s="312">
        <f>35840000+345680000</f>
        <v>381520000</v>
      </c>
      <c r="AO11" s="313">
        <f>SUM(X11:AN11)</f>
        <v>31861371515</v>
      </c>
    </row>
    <row r="12" spans="1:42" s="214" customFormat="1" ht="14.25">
      <c r="A12" s="224" t="s">
        <v>115</v>
      </c>
      <c r="B12" s="229" t="s">
        <v>609</v>
      </c>
      <c r="C12" s="226">
        <f t="shared" si="7"/>
        <v>1940096044</v>
      </c>
      <c r="D12" s="227">
        <f t="shared" si="1"/>
        <v>18096044</v>
      </c>
      <c r="E12" s="227">
        <v>12890000</v>
      </c>
      <c r="F12" s="227"/>
      <c r="G12" s="227">
        <v>5035900</v>
      </c>
      <c r="H12" s="227">
        <v>170144</v>
      </c>
      <c r="I12" s="227">
        <f>SUM(J12:M12)-N12</f>
        <v>1922000000</v>
      </c>
      <c r="J12" s="230"/>
      <c r="K12" s="230">
        <v>1922000000</v>
      </c>
      <c r="L12" s="230"/>
      <c r="M12" s="230"/>
      <c r="N12" s="231"/>
      <c r="O12" s="226">
        <f>SUM(P12:Q12)</f>
        <v>1922476098</v>
      </c>
      <c r="P12" s="226">
        <f>402353100+10629200</f>
        <v>412982300</v>
      </c>
      <c r="Q12" s="240">
        <v>1509493798</v>
      </c>
      <c r="R12" s="241">
        <f>+G12+H12</f>
        <v>5206044</v>
      </c>
      <c r="S12" s="226">
        <f>+C12-O12-R12</f>
        <v>12413902</v>
      </c>
      <c r="T12" s="233"/>
      <c r="U12" s="233">
        <f>903000+2260800</f>
        <v>3163800</v>
      </c>
      <c r="V12" s="234"/>
      <c r="W12" s="235"/>
      <c r="X12" s="228">
        <v>18670000</v>
      </c>
      <c r="Y12" s="228">
        <v>125400000</v>
      </c>
      <c r="Z12" s="228">
        <v>125240000</v>
      </c>
      <c r="AA12" s="221">
        <v>40410000</v>
      </c>
      <c r="AB12" s="284">
        <v>42700000</v>
      </c>
      <c r="AC12" s="284">
        <v>74243900</v>
      </c>
      <c r="AD12" s="284">
        <v>137640000</v>
      </c>
      <c r="AE12" s="284">
        <v>85360000</v>
      </c>
      <c r="AF12" s="284">
        <v>125790000</v>
      </c>
      <c r="AG12" s="284">
        <v>26150000</v>
      </c>
      <c r="AH12" s="284">
        <v>112000000</v>
      </c>
      <c r="AI12" s="284">
        <v>125350000</v>
      </c>
      <c r="AJ12" s="284">
        <v>137710000</v>
      </c>
      <c r="AK12" s="284">
        <v>125500000</v>
      </c>
      <c r="AL12" s="284">
        <v>60300000</v>
      </c>
      <c r="AM12" s="299">
        <v>137600000</v>
      </c>
      <c r="AN12" s="299">
        <v>18680000</v>
      </c>
      <c r="AO12" s="275">
        <f t="shared" si="3"/>
        <v>1518743900</v>
      </c>
      <c r="AP12" s="351">
        <f>+AO12-AO25</f>
        <v>9250102</v>
      </c>
    </row>
    <row r="13" spans="1:42" s="158" customFormat="1" ht="33">
      <c r="A13" s="224" t="s">
        <v>62</v>
      </c>
      <c r="B13" s="229" t="s">
        <v>677</v>
      </c>
      <c r="C13" s="226">
        <f>SUM(C14:C15)</f>
        <v>739032658</v>
      </c>
      <c r="D13" s="227">
        <f t="shared" ref="D13:W13" si="8">SUM(D14:D15)</f>
        <v>739032658</v>
      </c>
      <c r="E13" s="227">
        <f t="shared" si="8"/>
        <v>0</v>
      </c>
      <c r="F13" s="227">
        <f t="shared" si="8"/>
        <v>739032658</v>
      </c>
      <c r="G13" s="227">
        <f t="shared" si="8"/>
        <v>0</v>
      </c>
      <c r="H13" s="227">
        <f t="shared" si="8"/>
        <v>0</v>
      </c>
      <c r="I13" s="227">
        <f t="shared" si="8"/>
        <v>0</v>
      </c>
      <c r="J13" s="227">
        <f t="shared" si="8"/>
        <v>0</v>
      </c>
      <c r="K13" s="227">
        <f t="shared" si="8"/>
        <v>0</v>
      </c>
      <c r="L13" s="227">
        <f t="shared" si="8"/>
        <v>0</v>
      </c>
      <c r="M13" s="227">
        <f t="shared" si="8"/>
        <v>0</v>
      </c>
      <c r="N13" s="227">
        <f t="shared" si="8"/>
        <v>0</v>
      </c>
      <c r="O13" s="226">
        <f t="shared" si="8"/>
        <v>646843888</v>
      </c>
      <c r="P13" s="226">
        <f t="shared" si="8"/>
        <v>0</v>
      </c>
      <c r="Q13" s="226">
        <f t="shared" si="8"/>
        <v>646843888</v>
      </c>
      <c r="R13" s="226">
        <f t="shared" si="8"/>
        <v>0</v>
      </c>
      <c r="S13" s="226">
        <f t="shared" si="8"/>
        <v>92188770</v>
      </c>
      <c r="T13" s="226">
        <f t="shared" si="8"/>
        <v>0</v>
      </c>
      <c r="U13" s="226">
        <f t="shared" si="8"/>
        <v>0</v>
      </c>
      <c r="V13" s="226">
        <f t="shared" si="8"/>
        <v>49428070</v>
      </c>
      <c r="W13" s="226">
        <f t="shared" si="8"/>
        <v>42760700</v>
      </c>
      <c r="X13" s="228">
        <f>SUM(X14:X15)</f>
        <v>0</v>
      </c>
      <c r="Y13" s="228">
        <f t="shared" ref="Y13:AL13" si="9">SUM(Y14:Y15)</f>
        <v>515672529</v>
      </c>
      <c r="Z13" s="228">
        <f t="shared" si="9"/>
        <v>0</v>
      </c>
      <c r="AA13" s="221">
        <f t="shared" si="9"/>
        <v>0</v>
      </c>
      <c r="AB13" s="284">
        <f t="shared" si="9"/>
        <v>0</v>
      </c>
      <c r="AC13" s="284">
        <f t="shared" si="9"/>
        <v>0</v>
      </c>
      <c r="AD13" s="284">
        <f t="shared" si="9"/>
        <v>0</v>
      </c>
      <c r="AE13" s="284">
        <f t="shared" si="9"/>
        <v>0</v>
      </c>
      <c r="AF13" s="284">
        <f t="shared" si="9"/>
        <v>223360129</v>
      </c>
      <c r="AG13" s="284">
        <f t="shared" si="9"/>
        <v>0</v>
      </c>
      <c r="AH13" s="284">
        <f t="shared" si="9"/>
        <v>0</v>
      </c>
      <c r="AI13" s="284">
        <f t="shared" si="9"/>
        <v>0</v>
      </c>
      <c r="AJ13" s="284">
        <f t="shared" si="9"/>
        <v>0</v>
      </c>
      <c r="AK13" s="284">
        <f t="shared" si="9"/>
        <v>0</v>
      </c>
      <c r="AL13" s="284">
        <f t="shared" si="9"/>
        <v>0</v>
      </c>
      <c r="AM13" s="315"/>
      <c r="AN13" s="315"/>
      <c r="AO13" s="275">
        <f t="shared" si="3"/>
        <v>739032658</v>
      </c>
      <c r="AP13" s="215">
        <f>+AP12-AO11</f>
        <v>-31852121413</v>
      </c>
    </row>
    <row r="14" spans="1:42" s="314" customFormat="1" ht="14.25">
      <c r="A14" s="300" t="s">
        <v>115</v>
      </c>
      <c r="B14" s="301" t="s">
        <v>600</v>
      </c>
      <c r="C14" s="302">
        <f t="shared" si="7"/>
        <v>739032658</v>
      </c>
      <c r="D14" s="303">
        <f t="shared" si="1"/>
        <v>739032658</v>
      </c>
      <c r="E14" s="303"/>
      <c r="F14" s="303">
        <v>739032658</v>
      </c>
      <c r="G14" s="303"/>
      <c r="H14" s="303"/>
      <c r="I14" s="303">
        <f>SUM(J14:M14)-N14</f>
        <v>0</v>
      </c>
      <c r="J14" s="304"/>
      <c r="K14" s="304"/>
      <c r="L14" s="304"/>
      <c r="M14" s="304"/>
      <c r="N14" s="305"/>
      <c r="O14" s="302">
        <f>SUM(P14:Q14)</f>
        <v>646843888</v>
      </c>
      <c r="P14" s="316"/>
      <c r="Q14" s="316">
        <v>646843888</v>
      </c>
      <c r="R14" s="307"/>
      <c r="S14" s="302">
        <f>+C14-O14-R14</f>
        <v>92188770</v>
      </c>
      <c r="T14" s="307"/>
      <c r="U14" s="307"/>
      <c r="V14" s="308">
        <v>49428070</v>
      </c>
      <c r="W14" s="309">
        <v>42760700</v>
      </c>
      <c r="X14" s="310"/>
      <c r="Y14" s="310">
        <v>515672529</v>
      </c>
      <c r="Z14" s="310"/>
      <c r="AA14" s="310"/>
      <c r="AB14" s="311"/>
      <c r="AC14" s="311"/>
      <c r="AD14" s="311"/>
      <c r="AE14" s="311"/>
      <c r="AF14" s="311">
        <v>223360129</v>
      </c>
      <c r="AG14" s="311"/>
      <c r="AH14" s="311"/>
      <c r="AI14" s="311"/>
      <c r="AJ14" s="311"/>
      <c r="AK14" s="311"/>
      <c r="AL14" s="311"/>
      <c r="AM14" s="312"/>
      <c r="AN14" s="312"/>
      <c r="AO14" s="313">
        <f t="shared" si="3"/>
        <v>739032658</v>
      </c>
    </row>
    <row r="15" spans="1:42" s="158" customFormat="1" ht="18.75" customHeight="1">
      <c r="A15" s="224" t="s">
        <v>115</v>
      </c>
      <c r="B15" s="229" t="s">
        <v>609</v>
      </c>
      <c r="C15" s="226">
        <f t="shared" si="7"/>
        <v>0</v>
      </c>
      <c r="D15" s="227">
        <f t="shared" si="1"/>
        <v>0</v>
      </c>
      <c r="E15" s="227"/>
      <c r="F15" s="227"/>
      <c r="G15" s="227"/>
      <c r="H15" s="227"/>
      <c r="I15" s="227">
        <f>SUM(J15:M15)-N15</f>
        <v>0</v>
      </c>
      <c r="J15" s="230"/>
      <c r="K15" s="230"/>
      <c r="L15" s="230"/>
      <c r="M15" s="230"/>
      <c r="N15" s="231"/>
      <c r="O15" s="226">
        <f>SUM(P15:Q15)</f>
        <v>0</v>
      </c>
      <c r="P15" s="232"/>
      <c r="Q15" s="233"/>
      <c r="R15" s="233"/>
      <c r="S15" s="226">
        <f>+C15-O15-R15</f>
        <v>0</v>
      </c>
      <c r="T15" s="233">
        <f>+C15-O15</f>
        <v>0</v>
      </c>
      <c r="U15" s="233"/>
      <c r="V15" s="234"/>
      <c r="W15" s="235"/>
      <c r="X15" s="228"/>
      <c r="Y15" s="228"/>
      <c r="Z15" s="228"/>
      <c r="AA15" s="222"/>
      <c r="AB15" s="317"/>
      <c r="AC15" s="317"/>
      <c r="AD15" s="317"/>
      <c r="AE15" s="317"/>
      <c r="AF15" s="317"/>
      <c r="AG15" s="317"/>
      <c r="AH15" s="317"/>
      <c r="AI15" s="317"/>
      <c r="AJ15" s="317"/>
      <c r="AK15" s="317"/>
      <c r="AL15" s="317"/>
      <c r="AM15" s="315"/>
      <c r="AN15" s="315"/>
      <c r="AO15" s="275">
        <f t="shared" si="3"/>
        <v>0</v>
      </c>
    </row>
    <row r="16" spans="1:42" s="158" customFormat="1" ht="22.5" customHeight="1">
      <c r="A16" s="224" t="s">
        <v>62</v>
      </c>
      <c r="B16" s="243" t="s">
        <v>688</v>
      </c>
      <c r="C16" s="226">
        <f t="shared" si="7"/>
        <v>2772000000</v>
      </c>
      <c r="D16" s="227">
        <f>SUM(E16:H16)</f>
        <v>1000000000</v>
      </c>
      <c r="E16" s="227">
        <v>1000000000</v>
      </c>
      <c r="F16" s="227">
        <v>0</v>
      </c>
      <c r="G16" s="227">
        <v>0</v>
      </c>
      <c r="H16" s="227">
        <v>0</v>
      </c>
      <c r="I16" s="227">
        <f>SUM(J16:M16)-N16</f>
        <v>1772000000</v>
      </c>
      <c r="J16" s="227">
        <f>SUM(J17:J18)</f>
        <v>0</v>
      </c>
      <c r="K16" s="227">
        <f>SUM(K17:K18)</f>
        <v>1772000000</v>
      </c>
      <c r="L16" s="227">
        <f>SUM(L17:L18)</f>
        <v>0</v>
      </c>
      <c r="M16" s="227">
        <f>SUM(M17:M18)</f>
        <v>0</v>
      </c>
      <c r="N16" s="227">
        <f>SUM(N17:N18)</f>
        <v>0</v>
      </c>
      <c r="O16" s="226">
        <f>SUM(P16:Q16)</f>
        <v>1855758500</v>
      </c>
      <c r="P16" s="226">
        <f>SUM(P17:P18)</f>
        <v>1855758500</v>
      </c>
      <c r="Q16" s="226">
        <f>SUM(Q17:Q18)</f>
        <v>0</v>
      </c>
      <c r="R16" s="226">
        <f>SUM(R17:R18)</f>
        <v>0</v>
      </c>
      <c r="S16" s="226">
        <f>+C16-O16-R16</f>
        <v>916241500</v>
      </c>
      <c r="T16" s="226">
        <f>SUM(T17:T18)</f>
        <v>916241500</v>
      </c>
      <c r="U16" s="226">
        <f>SUM(U17:U18)</f>
        <v>0</v>
      </c>
      <c r="V16" s="226">
        <f>SUM(V17:V18)</f>
        <v>0</v>
      </c>
      <c r="W16" s="226">
        <f>SUM(W17:W18)</f>
        <v>0</v>
      </c>
      <c r="X16" s="228">
        <f>SUM(X17:X18)</f>
        <v>0</v>
      </c>
      <c r="Y16" s="228">
        <f t="shared" ref="Y16:AL16" si="10">SUM(Y17:Y18)</f>
        <v>0</v>
      </c>
      <c r="Z16" s="228">
        <f t="shared" si="10"/>
        <v>0</v>
      </c>
      <c r="AA16" s="221">
        <f t="shared" si="10"/>
        <v>0</v>
      </c>
      <c r="AB16" s="284">
        <f t="shared" si="10"/>
        <v>0</v>
      </c>
      <c r="AC16" s="284">
        <f t="shared" si="10"/>
        <v>0</v>
      </c>
      <c r="AD16" s="284">
        <f t="shared" si="10"/>
        <v>0</v>
      </c>
      <c r="AE16" s="284">
        <f t="shared" si="10"/>
        <v>0</v>
      </c>
      <c r="AF16" s="284">
        <f t="shared" si="10"/>
        <v>0</v>
      </c>
      <c r="AG16" s="284">
        <f t="shared" si="10"/>
        <v>0</v>
      </c>
      <c r="AH16" s="284">
        <f t="shared" si="10"/>
        <v>0</v>
      </c>
      <c r="AI16" s="284">
        <f t="shared" si="10"/>
        <v>0</v>
      </c>
      <c r="AJ16" s="284">
        <f t="shared" si="10"/>
        <v>0</v>
      </c>
      <c r="AK16" s="284">
        <f t="shared" si="10"/>
        <v>0</v>
      </c>
      <c r="AL16" s="284">
        <f t="shared" si="10"/>
        <v>0</v>
      </c>
      <c r="AM16" s="315"/>
      <c r="AN16" s="315"/>
      <c r="AO16" s="275">
        <f t="shared" si="3"/>
        <v>0</v>
      </c>
    </row>
    <row r="17" spans="1:42" s="314" customFormat="1" ht="15.75" customHeight="1">
      <c r="A17" s="300" t="s">
        <v>115</v>
      </c>
      <c r="B17" s="301" t="s">
        <v>600</v>
      </c>
      <c r="C17" s="302">
        <f t="shared" si="7"/>
        <v>2633000000</v>
      </c>
      <c r="D17" s="303">
        <f>SUM(E17:H17)</f>
        <v>952000000</v>
      </c>
      <c r="E17" s="303">
        <v>952000000</v>
      </c>
      <c r="F17" s="303"/>
      <c r="G17" s="303"/>
      <c r="H17" s="303"/>
      <c r="I17" s="303">
        <f>SUM(J17:M17)-N17</f>
        <v>1681000000</v>
      </c>
      <c r="J17" s="304"/>
      <c r="K17" s="304">
        <v>1681000000</v>
      </c>
      <c r="L17" s="304"/>
      <c r="M17" s="304"/>
      <c r="N17" s="305"/>
      <c r="O17" s="302">
        <f>SUM(P17:Q17)</f>
        <v>1763758500</v>
      </c>
      <c r="P17" s="316">
        <f>+C17-T17</f>
        <v>1763758500</v>
      </c>
      <c r="Q17" s="316"/>
      <c r="R17" s="307"/>
      <c r="S17" s="302">
        <f>+C17-O17-R17</f>
        <v>869241500</v>
      </c>
      <c r="T17" s="302">
        <v>869241500</v>
      </c>
      <c r="U17" s="307"/>
      <c r="V17" s="308"/>
      <c r="W17" s="309"/>
      <c r="X17" s="310"/>
      <c r="Y17" s="310"/>
      <c r="Z17" s="310"/>
      <c r="AA17" s="310"/>
      <c r="AB17" s="311"/>
      <c r="AC17" s="311"/>
      <c r="AD17" s="311"/>
      <c r="AE17" s="311"/>
      <c r="AF17" s="311"/>
      <c r="AG17" s="311"/>
      <c r="AH17" s="311"/>
      <c r="AI17" s="311"/>
      <c r="AJ17" s="311"/>
      <c r="AK17" s="311"/>
      <c r="AL17" s="311"/>
      <c r="AM17" s="312"/>
      <c r="AN17" s="312"/>
      <c r="AO17" s="313">
        <f t="shared" si="3"/>
        <v>0</v>
      </c>
    </row>
    <row r="18" spans="1:42" s="158" customFormat="1" ht="15.75" customHeight="1">
      <c r="A18" s="224" t="s">
        <v>115</v>
      </c>
      <c r="B18" s="229" t="s">
        <v>609</v>
      </c>
      <c r="C18" s="226">
        <f t="shared" si="7"/>
        <v>139000000</v>
      </c>
      <c r="D18" s="227">
        <f>SUM(E18:H18)</f>
        <v>48000000</v>
      </c>
      <c r="E18" s="227">
        <v>48000000</v>
      </c>
      <c r="F18" s="227"/>
      <c r="G18" s="227"/>
      <c r="H18" s="227"/>
      <c r="I18" s="227">
        <f>SUM(J18:M18)-N18</f>
        <v>91000000</v>
      </c>
      <c r="J18" s="230"/>
      <c r="K18" s="230">
        <v>91000000</v>
      </c>
      <c r="L18" s="230"/>
      <c r="M18" s="230"/>
      <c r="N18" s="231"/>
      <c r="O18" s="226">
        <f>SUM(P18:Q18)</f>
        <v>92000000</v>
      </c>
      <c r="P18" s="232">
        <f>+C18-T18</f>
        <v>92000000</v>
      </c>
      <c r="Q18" s="233"/>
      <c r="R18" s="233"/>
      <c r="S18" s="226">
        <f>+C18-O18-R18</f>
        <v>47000000</v>
      </c>
      <c r="T18" s="226">
        <v>47000000</v>
      </c>
      <c r="U18" s="233"/>
      <c r="V18" s="234"/>
      <c r="W18" s="235"/>
      <c r="X18" s="228"/>
      <c r="Y18" s="228"/>
      <c r="Z18" s="228"/>
      <c r="AA18" s="222"/>
      <c r="AB18" s="317"/>
      <c r="AC18" s="317"/>
      <c r="AD18" s="317"/>
      <c r="AE18" s="317"/>
      <c r="AF18" s="317"/>
      <c r="AG18" s="317"/>
      <c r="AH18" s="317"/>
      <c r="AI18" s="317"/>
      <c r="AJ18" s="317"/>
      <c r="AK18" s="317"/>
      <c r="AL18" s="317"/>
      <c r="AM18" s="315"/>
      <c r="AN18" s="315"/>
      <c r="AO18" s="275">
        <f t="shared" si="3"/>
        <v>0</v>
      </c>
    </row>
    <row r="19" spans="1:42" s="21" customFormat="1" ht="15.75" customHeight="1">
      <c r="A19" s="246"/>
      <c r="B19" s="246" t="s">
        <v>146</v>
      </c>
      <c r="C19" s="246"/>
      <c r="D19" s="246"/>
      <c r="E19" s="246"/>
      <c r="F19" s="246"/>
      <c r="G19" s="246"/>
      <c r="H19" s="246"/>
      <c r="I19" s="246"/>
      <c r="J19" s="246"/>
      <c r="K19" s="246"/>
      <c r="L19" s="246"/>
      <c r="M19" s="246"/>
      <c r="N19" s="246"/>
      <c r="O19" s="246"/>
      <c r="P19" s="246"/>
      <c r="Q19" s="246"/>
      <c r="R19" s="246"/>
      <c r="S19" s="246"/>
      <c r="T19" s="246"/>
      <c r="U19" s="246"/>
      <c r="V19" s="246"/>
      <c r="W19" s="246"/>
      <c r="X19" s="247">
        <f>+X20+X23+X26+X29</f>
        <v>540188400</v>
      </c>
      <c r="Y19" s="247">
        <f t="shared" ref="Y19:AN19" si="11">+Y20+Y23+Y26+Y29</f>
        <v>3276574281</v>
      </c>
      <c r="Z19" s="247">
        <f t="shared" si="11"/>
        <v>2977219300</v>
      </c>
      <c r="AA19" s="248">
        <f t="shared" si="11"/>
        <v>889469124</v>
      </c>
      <c r="AB19" s="283">
        <f t="shared" si="11"/>
        <v>1473735400</v>
      </c>
      <c r="AC19" s="283">
        <f t="shared" si="11"/>
        <v>1995802718</v>
      </c>
      <c r="AD19" s="283">
        <f t="shared" si="11"/>
        <v>2928660100</v>
      </c>
      <c r="AE19" s="283">
        <f t="shared" si="11"/>
        <v>1779322800</v>
      </c>
      <c r="AF19" s="283">
        <f t="shared" si="11"/>
        <v>3075776132</v>
      </c>
      <c r="AG19" s="283">
        <f t="shared" si="11"/>
        <v>757588897</v>
      </c>
      <c r="AH19" s="283">
        <f t="shared" si="11"/>
        <v>2730154900</v>
      </c>
      <c r="AI19" s="283">
        <f t="shared" si="11"/>
        <v>2614466222</v>
      </c>
      <c r="AJ19" s="283">
        <f t="shared" si="11"/>
        <v>3043886720</v>
      </c>
      <c r="AK19" s="283">
        <f t="shared" si="11"/>
        <v>2911495200</v>
      </c>
      <c r="AL19" s="283">
        <f t="shared" si="11"/>
        <v>1560037383</v>
      </c>
      <c r="AM19" s="283">
        <f t="shared" si="11"/>
        <v>3302377537</v>
      </c>
      <c r="AN19" s="283">
        <f t="shared" si="11"/>
        <v>431853100</v>
      </c>
      <c r="AO19" s="275">
        <f>SUM(X19:AN19)</f>
        <v>36288608214</v>
      </c>
      <c r="AP19" s="275">
        <f>+AO6-AO19</f>
        <v>1725039859</v>
      </c>
    </row>
    <row r="20" spans="1:42" s="214" customFormat="1" ht="33" customHeight="1">
      <c r="A20" s="224" t="s">
        <v>62</v>
      </c>
      <c r="B20" s="225" t="s">
        <v>676</v>
      </c>
      <c r="C20" s="226">
        <f>+D20+I20</f>
        <v>4136000000</v>
      </c>
      <c r="D20" s="227">
        <f>SUM(E20:H20)</f>
        <v>530000000</v>
      </c>
      <c r="E20" s="227">
        <v>0</v>
      </c>
      <c r="F20" s="227">
        <v>530000000</v>
      </c>
      <c r="G20" s="227">
        <v>0</v>
      </c>
      <c r="H20" s="227">
        <v>0</v>
      </c>
      <c r="I20" s="227">
        <f>SUM(J20:M20)-N20</f>
        <v>3606000000</v>
      </c>
      <c r="J20" s="227">
        <f>SUM(J21:J22)</f>
        <v>0</v>
      </c>
      <c r="K20" s="227">
        <f>SUM(K21:K22)</f>
        <v>3574000000</v>
      </c>
      <c r="L20" s="227">
        <f>SUM(L21:L22)</f>
        <v>32000000</v>
      </c>
      <c r="M20" s="227">
        <f>SUM(M21:M22)</f>
        <v>0</v>
      </c>
      <c r="N20" s="227">
        <f>SUM(N21:N22)</f>
        <v>0</v>
      </c>
      <c r="O20" s="226">
        <f>SUM(P20:Q20)</f>
        <v>0</v>
      </c>
      <c r="P20" s="226">
        <f>SUM(P21:P22)</f>
        <v>0</v>
      </c>
      <c r="Q20" s="226">
        <f>SUM(Q21:Q22)</f>
        <v>0</v>
      </c>
      <c r="R20" s="226">
        <f>SUM(R21:R22)</f>
        <v>0</v>
      </c>
      <c r="S20" s="226">
        <f>+C20-O20-R20</f>
        <v>4136000000</v>
      </c>
      <c r="T20" s="226">
        <f>SUM(T21:T22)</f>
        <v>174000000</v>
      </c>
      <c r="U20" s="226">
        <f>SUM(U21:U22)</f>
        <v>0</v>
      </c>
      <c r="V20" s="226">
        <f>SUM(V21:V22)</f>
        <v>4136000000</v>
      </c>
      <c r="W20" s="226">
        <f>SUM(W21:W22)</f>
        <v>0</v>
      </c>
      <c r="X20" s="228">
        <f>SUM(X21:X22)</f>
        <v>176000000</v>
      </c>
      <c r="Y20" s="228">
        <f t="shared" ref="Y20:AN20" si="12">SUM(Y21:Y22)</f>
        <v>176000000</v>
      </c>
      <c r="Z20" s="228">
        <f t="shared" si="12"/>
        <v>352000000</v>
      </c>
      <c r="AA20" s="221">
        <f t="shared" si="12"/>
        <v>88000000</v>
      </c>
      <c r="AB20" s="284">
        <f t="shared" si="12"/>
        <v>660000000</v>
      </c>
      <c r="AC20" s="284">
        <f t="shared" si="12"/>
        <v>88000000</v>
      </c>
      <c r="AD20" s="284">
        <f t="shared" si="12"/>
        <v>264000000</v>
      </c>
      <c r="AE20" s="284">
        <f t="shared" si="12"/>
        <v>176000000</v>
      </c>
      <c r="AF20" s="284">
        <f t="shared" si="12"/>
        <v>528000000</v>
      </c>
      <c r="AG20" s="284">
        <f t="shared" si="12"/>
        <v>44000000</v>
      </c>
      <c r="AH20" s="284">
        <f t="shared" si="12"/>
        <v>396000000</v>
      </c>
      <c r="AI20" s="284">
        <f t="shared" si="12"/>
        <v>0</v>
      </c>
      <c r="AJ20" s="284">
        <f t="shared" si="12"/>
        <v>0</v>
      </c>
      <c r="AK20" s="284">
        <f t="shared" si="12"/>
        <v>264000000</v>
      </c>
      <c r="AL20" s="284">
        <f t="shared" si="12"/>
        <v>0</v>
      </c>
      <c r="AM20" s="284">
        <f t="shared" si="12"/>
        <v>220000000</v>
      </c>
      <c r="AN20" s="284">
        <f t="shared" si="12"/>
        <v>44000000</v>
      </c>
    </row>
    <row r="21" spans="1:42" s="298" customFormat="1" ht="15.75" customHeight="1">
      <c r="A21" s="285" t="s">
        <v>115</v>
      </c>
      <c r="B21" s="286" t="s">
        <v>600</v>
      </c>
      <c r="C21" s="287">
        <f>+D21+I21</f>
        <v>3780000000</v>
      </c>
      <c r="D21" s="236">
        <f>SUM(E21:H21)</f>
        <v>490000000</v>
      </c>
      <c r="E21" s="236"/>
      <c r="F21" s="236">
        <v>490000000</v>
      </c>
      <c r="G21" s="236"/>
      <c r="H21" s="236"/>
      <c r="I21" s="236">
        <f>SUM(J21:M21)-N21</f>
        <v>3290000000</v>
      </c>
      <c r="J21" s="288"/>
      <c r="K21" s="288">
        <v>3290000000</v>
      </c>
      <c r="L21" s="288"/>
      <c r="M21" s="288"/>
      <c r="N21" s="289"/>
      <c r="O21" s="287">
        <f>SUM(P21:Q21)</f>
        <v>0</v>
      </c>
      <c r="P21" s="290"/>
      <c r="Q21" s="290"/>
      <c r="R21" s="291"/>
      <c r="S21" s="287">
        <f>+C21-O21-R21</f>
        <v>3780000000</v>
      </c>
      <c r="T21" s="291">
        <v>170000000</v>
      </c>
      <c r="U21" s="291"/>
      <c r="V21" s="238">
        <f>+S21</f>
        <v>3780000000</v>
      </c>
      <c r="W21" s="239"/>
      <c r="X21" s="318">
        <v>160000000</v>
      </c>
      <c r="Y21" s="318">
        <v>160000000</v>
      </c>
      <c r="Z21" s="318">
        <v>320000000</v>
      </c>
      <c r="AA21" s="318">
        <v>80000000</v>
      </c>
      <c r="AB21" s="295">
        <v>600000000</v>
      </c>
      <c r="AC21" s="295">
        <v>80000000</v>
      </c>
      <c r="AD21" s="295">
        <v>240000000</v>
      </c>
      <c r="AE21" s="295">
        <v>160000000</v>
      </c>
      <c r="AF21" s="295">
        <v>480000000</v>
      </c>
      <c r="AG21" s="295">
        <f>40000000</f>
        <v>40000000</v>
      </c>
      <c r="AH21" s="295">
        <v>360000000</v>
      </c>
      <c r="AI21" s="295"/>
      <c r="AJ21" s="295"/>
      <c r="AK21" s="295">
        <v>240000000</v>
      </c>
      <c r="AL21" s="295"/>
      <c r="AM21" s="296">
        <v>200000000</v>
      </c>
      <c r="AN21" s="296">
        <v>40000000</v>
      </c>
      <c r="AO21" s="319">
        <f>SUM(X21:AN21)</f>
        <v>3160000000</v>
      </c>
    </row>
    <row r="22" spans="1:42" s="214" customFormat="1" ht="15.75" customHeight="1">
      <c r="A22" s="224" t="s">
        <v>115</v>
      </c>
      <c r="B22" s="229" t="s">
        <v>609</v>
      </c>
      <c r="C22" s="226">
        <f>+D22+I22</f>
        <v>356000000</v>
      </c>
      <c r="D22" s="227">
        <f>SUM(E22:H22)</f>
        <v>40000000</v>
      </c>
      <c r="E22" s="227"/>
      <c r="F22" s="227">
        <v>40000000</v>
      </c>
      <c r="G22" s="227"/>
      <c r="H22" s="227"/>
      <c r="I22" s="227">
        <f>SUM(J22:M22)-N22</f>
        <v>316000000</v>
      </c>
      <c r="J22" s="230"/>
      <c r="K22" s="230">
        <v>284000000</v>
      </c>
      <c r="L22" s="230">
        <v>32000000</v>
      </c>
      <c r="M22" s="230"/>
      <c r="N22" s="231"/>
      <c r="O22" s="226">
        <f>SUM(P22:Q22)</f>
        <v>0</v>
      </c>
      <c r="P22" s="232"/>
      <c r="Q22" s="233"/>
      <c r="R22" s="233"/>
      <c r="S22" s="226">
        <f>+C22-O22-R22</f>
        <v>356000000</v>
      </c>
      <c r="T22" s="233">
        <v>4000000</v>
      </c>
      <c r="U22" s="233"/>
      <c r="V22" s="234">
        <f>+S22</f>
        <v>356000000</v>
      </c>
      <c r="W22" s="235"/>
      <c r="X22" s="228">
        <v>16000000</v>
      </c>
      <c r="Y22" s="228">
        <f>+Y9</f>
        <v>16000000</v>
      </c>
      <c r="Z22" s="228">
        <v>32000000</v>
      </c>
      <c r="AA22" s="221">
        <v>8000000</v>
      </c>
      <c r="AB22" s="284">
        <v>60000000</v>
      </c>
      <c r="AC22" s="284">
        <v>8000000</v>
      </c>
      <c r="AD22" s="284">
        <v>24000000</v>
      </c>
      <c r="AE22" s="284">
        <v>16000000</v>
      </c>
      <c r="AF22" s="284">
        <v>48000000</v>
      </c>
      <c r="AG22" s="284">
        <v>4000000</v>
      </c>
      <c r="AH22" s="284">
        <v>36000000</v>
      </c>
      <c r="AI22" s="284">
        <v>0</v>
      </c>
      <c r="AJ22" s="284"/>
      <c r="AK22" s="284">
        <v>24000000</v>
      </c>
      <c r="AL22" s="284"/>
      <c r="AM22" s="299">
        <v>20000000</v>
      </c>
      <c r="AN22" s="299">
        <v>4000000</v>
      </c>
      <c r="AO22" s="275">
        <f>SUM(X22:AN22)</f>
        <v>316000000</v>
      </c>
    </row>
    <row r="23" spans="1:42" s="214" customFormat="1" ht="37.5" customHeight="1">
      <c r="A23" s="224" t="s">
        <v>62</v>
      </c>
      <c r="B23" s="225" t="s">
        <v>608</v>
      </c>
      <c r="C23" s="226">
        <f t="shared" ref="C23:J23" si="13">SUM(C24:C25)</f>
        <v>41934237599</v>
      </c>
      <c r="D23" s="227">
        <f t="shared" si="13"/>
        <v>4417237599</v>
      </c>
      <c r="E23" s="227">
        <f t="shared" si="13"/>
        <v>511199700</v>
      </c>
      <c r="F23" s="227">
        <f t="shared" si="13"/>
        <v>3900831855</v>
      </c>
      <c r="G23" s="227">
        <f t="shared" si="13"/>
        <v>5035900</v>
      </c>
      <c r="H23" s="227">
        <f t="shared" si="13"/>
        <v>170144</v>
      </c>
      <c r="I23" s="227">
        <f t="shared" si="13"/>
        <v>37517000000</v>
      </c>
      <c r="J23" s="227">
        <f t="shared" si="13"/>
        <v>0</v>
      </c>
      <c r="K23" s="227">
        <f>SUM(K24:K25)</f>
        <v>37517000000</v>
      </c>
      <c r="L23" s="227">
        <f t="shared" ref="L23:W23" si="14">SUM(L24:L25)</f>
        <v>0</v>
      </c>
      <c r="M23" s="227">
        <f t="shared" si="14"/>
        <v>0</v>
      </c>
      <c r="N23" s="227">
        <f t="shared" si="14"/>
        <v>0</v>
      </c>
      <c r="O23" s="226">
        <f t="shared" si="14"/>
        <v>40584097181</v>
      </c>
      <c r="P23" s="226">
        <f t="shared" si="14"/>
        <v>8418719100</v>
      </c>
      <c r="Q23" s="226">
        <f t="shared" si="14"/>
        <v>32165378081</v>
      </c>
      <c r="R23" s="226">
        <f t="shared" si="14"/>
        <v>5206044</v>
      </c>
      <c r="S23" s="226">
        <f t="shared" si="14"/>
        <v>1344934374</v>
      </c>
      <c r="T23" s="226">
        <f t="shared" si="14"/>
        <v>0</v>
      </c>
      <c r="U23" s="226">
        <f t="shared" si="14"/>
        <v>111938240</v>
      </c>
      <c r="V23" s="226">
        <f t="shared" si="14"/>
        <v>222959299</v>
      </c>
      <c r="W23" s="226">
        <f t="shared" si="14"/>
        <v>982141688</v>
      </c>
      <c r="X23" s="228">
        <f>SUM(X24:X25)</f>
        <v>364188400</v>
      </c>
      <c r="Y23" s="228">
        <f t="shared" ref="Y23:AN23" si="15">SUM(Y24:Y25)</f>
        <v>2627662452</v>
      </c>
      <c r="Z23" s="228">
        <f t="shared" si="15"/>
        <v>2625219300</v>
      </c>
      <c r="AA23" s="221">
        <f t="shared" si="15"/>
        <v>801469124</v>
      </c>
      <c r="AB23" s="284">
        <f t="shared" si="15"/>
        <v>813735400</v>
      </c>
      <c r="AC23" s="284">
        <f t="shared" si="15"/>
        <v>1907802718</v>
      </c>
      <c r="AD23" s="284">
        <f t="shared" si="15"/>
        <v>2664660100</v>
      </c>
      <c r="AE23" s="284">
        <f t="shared" si="15"/>
        <v>1603322800</v>
      </c>
      <c r="AF23" s="284">
        <f t="shared" si="15"/>
        <v>2373844073</v>
      </c>
      <c r="AG23" s="284">
        <f t="shared" si="15"/>
        <v>713588897</v>
      </c>
      <c r="AH23" s="284">
        <f t="shared" si="15"/>
        <v>2334154900</v>
      </c>
      <c r="AI23" s="284">
        <f t="shared" si="15"/>
        <v>2614466222</v>
      </c>
      <c r="AJ23" s="284">
        <f t="shared" si="15"/>
        <v>3043886720</v>
      </c>
      <c r="AK23" s="284">
        <f t="shared" si="15"/>
        <v>2647495200</v>
      </c>
      <c r="AL23" s="284">
        <f t="shared" si="15"/>
        <v>1560037383</v>
      </c>
      <c r="AM23" s="299">
        <f t="shared" si="15"/>
        <v>3082377537</v>
      </c>
      <c r="AN23" s="299">
        <f t="shared" si="15"/>
        <v>387853100</v>
      </c>
    </row>
    <row r="24" spans="1:42" s="298" customFormat="1" ht="15.75" customHeight="1">
      <c r="A24" s="285" t="s">
        <v>115</v>
      </c>
      <c r="B24" s="286" t="s">
        <v>600</v>
      </c>
      <c r="C24" s="287">
        <f>+D24+I24</f>
        <v>39994141555</v>
      </c>
      <c r="D24" s="236">
        <f>SUM(E24:H24)</f>
        <v>4399141555</v>
      </c>
      <c r="E24" s="236">
        <v>498309700</v>
      </c>
      <c r="F24" s="236">
        <f>4639864513-F27</f>
        <v>3900831855</v>
      </c>
      <c r="G24" s="236">
        <v>0</v>
      </c>
      <c r="H24" s="236"/>
      <c r="I24" s="236">
        <f>SUM(J24:M24)-N24</f>
        <v>35595000000</v>
      </c>
      <c r="J24" s="288"/>
      <c r="K24" s="288">
        <v>35595000000</v>
      </c>
      <c r="L24" s="288"/>
      <c r="M24" s="288"/>
      <c r="N24" s="289"/>
      <c r="O24" s="287">
        <f>SUM(P24:Q24)</f>
        <v>38661621083</v>
      </c>
      <c r="P24" s="320">
        <f>475200000+4850900+7525685900</f>
        <v>8005736800</v>
      </c>
      <c r="Q24" s="320">
        <f>27497884283+3158000000</f>
        <v>30655884283</v>
      </c>
      <c r="R24" s="291"/>
      <c r="S24" s="287">
        <f>+C24-O24-R24</f>
        <v>1332520472</v>
      </c>
      <c r="T24" s="291"/>
      <c r="U24" s="291">
        <v>108774440</v>
      </c>
      <c r="V24" s="238">
        <f>82896300+140062999</f>
        <v>222959299</v>
      </c>
      <c r="W24" s="239">
        <f>379759077+602382611</f>
        <v>982141688</v>
      </c>
      <c r="X24" s="318">
        <v>345518400</v>
      </c>
      <c r="Y24" s="318">
        <v>2502262452</v>
      </c>
      <c r="Z24" s="318">
        <v>2499979300</v>
      </c>
      <c r="AA24" s="318">
        <v>761059124</v>
      </c>
      <c r="AB24" s="295">
        <v>771035400</v>
      </c>
      <c r="AC24" s="295">
        <v>1833558818</v>
      </c>
      <c r="AD24" s="295">
        <f>2527020100</f>
        <v>2527020100</v>
      </c>
      <c r="AE24" s="295">
        <v>1518462800</v>
      </c>
      <c r="AF24" s="295">
        <v>2248054073</v>
      </c>
      <c r="AG24" s="295">
        <v>687438897</v>
      </c>
      <c r="AH24" s="295">
        <v>2222154900</v>
      </c>
      <c r="AI24" s="295">
        <v>2489116222</v>
      </c>
      <c r="AJ24" s="295">
        <v>2911236822</v>
      </c>
      <c r="AK24" s="295">
        <v>2521995200</v>
      </c>
      <c r="AL24" s="295">
        <v>1499737383</v>
      </c>
      <c r="AM24" s="296">
        <v>2944777537</v>
      </c>
      <c r="AN24" s="296">
        <v>372863100</v>
      </c>
      <c r="AO24" s="319">
        <f>SUM(X24:AN24)</f>
        <v>30656270528</v>
      </c>
    </row>
    <row r="25" spans="1:42" s="214" customFormat="1" ht="15.75" customHeight="1">
      <c r="A25" s="224" t="s">
        <v>115</v>
      </c>
      <c r="B25" s="229" t="s">
        <v>609</v>
      </c>
      <c r="C25" s="226">
        <f>+D25+I25</f>
        <v>1940096044</v>
      </c>
      <c r="D25" s="227">
        <f>SUM(E25:H25)</f>
        <v>18096044</v>
      </c>
      <c r="E25" s="227">
        <v>12890000</v>
      </c>
      <c r="F25" s="227"/>
      <c r="G25" s="227">
        <v>5035900</v>
      </c>
      <c r="H25" s="227">
        <v>170144</v>
      </c>
      <c r="I25" s="227">
        <f>SUM(J25:M25)-N25</f>
        <v>1922000000</v>
      </c>
      <c r="J25" s="230"/>
      <c r="K25" s="230">
        <v>1922000000</v>
      </c>
      <c r="L25" s="230"/>
      <c r="M25" s="230"/>
      <c r="N25" s="231"/>
      <c r="O25" s="226">
        <f>SUM(P25:Q25)</f>
        <v>1922476098</v>
      </c>
      <c r="P25" s="226">
        <f>402353100+10629200</f>
        <v>412982300</v>
      </c>
      <c r="Q25" s="240">
        <v>1509493798</v>
      </c>
      <c r="R25" s="241">
        <f>+G25+H25</f>
        <v>5206044</v>
      </c>
      <c r="S25" s="226">
        <f>+C25-O25-R25</f>
        <v>12413902</v>
      </c>
      <c r="T25" s="233"/>
      <c r="U25" s="233">
        <f>903000+2260800</f>
        <v>3163800</v>
      </c>
      <c r="V25" s="234"/>
      <c r="W25" s="235"/>
      <c r="X25" s="228">
        <v>18670000</v>
      </c>
      <c r="Y25" s="228">
        <v>125400000</v>
      </c>
      <c r="Z25" s="228">
        <v>125240000</v>
      </c>
      <c r="AA25" s="221">
        <v>40410000</v>
      </c>
      <c r="AB25" s="284">
        <v>42700000</v>
      </c>
      <c r="AC25" s="284">
        <v>74243900</v>
      </c>
      <c r="AD25" s="284">
        <v>137640000</v>
      </c>
      <c r="AE25" s="284">
        <v>84860000</v>
      </c>
      <c r="AF25" s="284">
        <v>125790000</v>
      </c>
      <c r="AG25" s="284">
        <v>26150000</v>
      </c>
      <c r="AH25" s="284">
        <v>112000000</v>
      </c>
      <c r="AI25" s="284">
        <v>125350000</v>
      </c>
      <c r="AJ25" s="284">
        <v>132649898</v>
      </c>
      <c r="AK25" s="284">
        <v>125500000</v>
      </c>
      <c r="AL25" s="284">
        <v>60300000</v>
      </c>
      <c r="AM25" s="299">
        <v>137600000</v>
      </c>
      <c r="AN25" s="299">
        <v>14990000</v>
      </c>
      <c r="AO25" s="275">
        <f>SUM(X25:AN25)</f>
        <v>1509493798</v>
      </c>
    </row>
    <row r="26" spans="1:42" s="158" customFormat="1" ht="33" customHeight="1">
      <c r="A26" s="224" t="s">
        <v>62</v>
      </c>
      <c r="B26" s="229" t="s">
        <v>677</v>
      </c>
      <c r="C26" s="226">
        <f>SUM(C27:C28)</f>
        <v>739032658</v>
      </c>
      <c r="D26" s="227">
        <f t="shared" ref="D26:W26" si="16">SUM(D27:D28)</f>
        <v>739032658</v>
      </c>
      <c r="E26" s="227">
        <f t="shared" si="16"/>
        <v>0</v>
      </c>
      <c r="F26" s="227">
        <f t="shared" si="16"/>
        <v>739032658</v>
      </c>
      <c r="G26" s="227">
        <f t="shared" si="16"/>
        <v>0</v>
      </c>
      <c r="H26" s="227">
        <f t="shared" si="16"/>
        <v>0</v>
      </c>
      <c r="I26" s="227">
        <f t="shared" si="16"/>
        <v>0</v>
      </c>
      <c r="J26" s="227">
        <f t="shared" si="16"/>
        <v>0</v>
      </c>
      <c r="K26" s="227">
        <f t="shared" si="16"/>
        <v>0</v>
      </c>
      <c r="L26" s="227">
        <f t="shared" si="16"/>
        <v>0</v>
      </c>
      <c r="M26" s="227">
        <f t="shared" si="16"/>
        <v>0</v>
      </c>
      <c r="N26" s="227">
        <f t="shared" si="16"/>
        <v>0</v>
      </c>
      <c r="O26" s="226">
        <f t="shared" si="16"/>
        <v>646843888</v>
      </c>
      <c r="P26" s="226">
        <f t="shared" si="16"/>
        <v>0</v>
      </c>
      <c r="Q26" s="226">
        <f t="shared" si="16"/>
        <v>646843888</v>
      </c>
      <c r="R26" s="226">
        <f t="shared" si="16"/>
        <v>0</v>
      </c>
      <c r="S26" s="226">
        <f t="shared" si="16"/>
        <v>92188770</v>
      </c>
      <c r="T26" s="226">
        <f t="shared" si="16"/>
        <v>0</v>
      </c>
      <c r="U26" s="226">
        <f t="shared" si="16"/>
        <v>0</v>
      </c>
      <c r="V26" s="226">
        <f t="shared" si="16"/>
        <v>49428070</v>
      </c>
      <c r="W26" s="226">
        <f t="shared" si="16"/>
        <v>42760700</v>
      </c>
      <c r="X26" s="228">
        <f>SUM(X27:X28)</f>
        <v>0</v>
      </c>
      <c r="Y26" s="228">
        <f t="shared" ref="Y26:AL26" si="17">SUM(Y27:Y28)</f>
        <v>472911829</v>
      </c>
      <c r="Z26" s="228">
        <f t="shared" si="17"/>
        <v>0</v>
      </c>
      <c r="AA26" s="221">
        <f t="shared" si="17"/>
        <v>0</v>
      </c>
      <c r="AB26" s="284">
        <f t="shared" si="17"/>
        <v>0</v>
      </c>
      <c r="AC26" s="284">
        <f t="shared" si="17"/>
        <v>0</v>
      </c>
      <c r="AD26" s="284">
        <f t="shared" si="17"/>
        <v>0</v>
      </c>
      <c r="AE26" s="284">
        <f t="shared" si="17"/>
        <v>0</v>
      </c>
      <c r="AF26" s="284">
        <f t="shared" si="17"/>
        <v>173932059</v>
      </c>
      <c r="AG26" s="284">
        <f t="shared" si="17"/>
        <v>0</v>
      </c>
      <c r="AH26" s="284">
        <f t="shared" si="17"/>
        <v>0</v>
      </c>
      <c r="AI26" s="284">
        <f t="shared" si="17"/>
        <v>0</v>
      </c>
      <c r="AJ26" s="284">
        <f t="shared" si="17"/>
        <v>0</v>
      </c>
      <c r="AK26" s="284">
        <f t="shared" si="17"/>
        <v>0</v>
      </c>
      <c r="AL26" s="284">
        <f t="shared" si="17"/>
        <v>0</v>
      </c>
      <c r="AM26" s="315"/>
      <c r="AN26" s="315"/>
      <c r="AO26" s="275">
        <f>SUM(X26:AN26)</f>
        <v>646843888</v>
      </c>
    </row>
    <row r="27" spans="1:42" s="314" customFormat="1" ht="22.5" customHeight="1">
      <c r="A27" s="300" t="s">
        <v>115</v>
      </c>
      <c r="B27" s="301" t="s">
        <v>600</v>
      </c>
      <c r="C27" s="302">
        <f>+D27+I27</f>
        <v>739032658</v>
      </c>
      <c r="D27" s="303">
        <f>SUM(E27:H27)</f>
        <v>739032658</v>
      </c>
      <c r="E27" s="303"/>
      <c r="F27" s="303">
        <v>739032658</v>
      </c>
      <c r="G27" s="303"/>
      <c r="H27" s="303"/>
      <c r="I27" s="303">
        <f>SUM(J27:M27)-N27</f>
        <v>0</v>
      </c>
      <c r="J27" s="304"/>
      <c r="K27" s="304"/>
      <c r="L27" s="304"/>
      <c r="M27" s="304"/>
      <c r="N27" s="305"/>
      <c r="O27" s="302">
        <f>SUM(P27:Q27)</f>
        <v>646843888</v>
      </c>
      <c r="P27" s="316"/>
      <c r="Q27" s="316">
        <v>646843888</v>
      </c>
      <c r="R27" s="307"/>
      <c r="S27" s="302">
        <f>+C27-O27-R27</f>
        <v>92188770</v>
      </c>
      <c r="T27" s="307"/>
      <c r="U27" s="307"/>
      <c r="V27" s="308">
        <v>49428070</v>
      </c>
      <c r="W27" s="309">
        <v>42760700</v>
      </c>
      <c r="X27" s="310"/>
      <c r="Y27" s="310">
        <v>472911829</v>
      </c>
      <c r="Z27" s="310"/>
      <c r="AA27" s="310"/>
      <c r="AB27" s="311"/>
      <c r="AC27" s="311"/>
      <c r="AD27" s="311"/>
      <c r="AE27" s="311"/>
      <c r="AF27" s="311">
        <v>173932059</v>
      </c>
      <c r="AG27" s="311"/>
      <c r="AH27" s="311"/>
      <c r="AI27" s="311"/>
      <c r="AJ27" s="311"/>
      <c r="AK27" s="311"/>
      <c r="AL27" s="311"/>
      <c r="AM27" s="312"/>
      <c r="AN27" s="312"/>
      <c r="AO27" s="275">
        <f t="shared" ref="AO27:AO60" si="18">SUM(X27:AN27)</f>
        <v>646843888</v>
      </c>
    </row>
    <row r="28" spans="1:42" s="158" customFormat="1" ht="22.5" customHeight="1">
      <c r="A28" s="224" t="s">
        <v>115</v>
      </c>
      <c r="B28" s="229" t="s">
        <v>609</v>
      </c>
      <c r="C28" s="226">
        <f>+D28+I28</f>
        <v>0</v>
      </c>
      <c r="D28" s="227">
        <f>SUM(E28:H28)</f>
        <v>0</v>
      </c>
      <c r="E28" s="227"/>
      <c r="F28" s="227"/>
      <c r="G28" s="227"/>
      <c r="H28" s="227"/>
      <c r="I28" s="227">
        <f>SUM(J28:M28)-N28</f>
        <v>0</v>
      </c>
      <c r="J28" s="230"/>
      <c r="K28" s="230"/>
      <c r="L28" s="230"/>
      <c r="M28" s="230"/>
      <c r="N28" s="231"/>
      <c r="O28" s="226">
        <f>SUM(P28:Q28)</f>
        <v>0</v>
      </c>
      <c r="P28" s="232"/>
      <c r="Q28" s="233"/>
      <c r="R28" s="233"/>
      <c r="S28" s="226">
        <f>+C28-O28-R28</f>
        <v>0</v>
      </c>
      <c r="T28" s="233">
        <f>+C28-O28</f>
        <v>0</v>
      </c>
      <c r="U28" s="233"/>
      <c r="V28" s="234"/>
      <c r="W28" s="235"/>
      <c r="X28" s="228"/>
      <c r="Y28" s="228"/>
      <c r="Z28" s="228"/>
      <c r="AA28" s="222"/>
      <c r="AB28" s="317"/>
      <c r="AC28" s="317"/>
      <c r="AD28" s="317"/>
      <c r="AE28" s="317"/>
      <c r="AF28" s="317"/>
      <c r="AG28" s="317"/>
      <c r="AH28" s="317"/>
      <c r="AI28" s="317"/>
      <c r="AJ28" s="317"/>
      <c r="AK28" s="317"/>
      <c r="AL28" s="317"/>
      <c r="AM28" s="315"/>
      <c r="AN28" s="315"/>
      <c r="AO28" s="275">
        <f t="shared" si="18"/>
        <v>0</v>
      </c>
    </row>
    <row r="29" spans="1:42" s="158" customFormat="1" ht="48" customHeight="1">
      <c r="A29" s="224" t="s">
        <v>62</v>
      </c>
      <c r="B29" s="243" t="s">
        <v>688</v>
      </c>
      <c r="C29" s="226">
        <f>+D29+I29</f>
        <v>2772000000</v>
      </c>
      <c r="D29" s="227">
        <f>SUM(E29:H29)</f>
        <v>1000000000</v>
      </c>
      <c r="E29" s="227">
        <v>1000000000</v>
      </c>
      <c r="F29" s="227">
        <v>0</v>
      </c>
      <c r="G29" s="227">
        <v>0</v>
      </c>
      <c r="H29" s="227">
        <v>0</v>
      </c>
      <c r="I29" s="227">
        <f>SUM(J29:M29)-N29</f>
        <v>1772000000</v>
      </c>
      <c r="J29" s="227">
        <f>SUM(J30:J31)</f>
        <v>0</v>
      </c>
      <c r="K29" s="227">
        <f>SUM(K30:K31)</f>
        <v>1772000000</v>
      </c>
      <c r="L29" s="227">
        <f>SUM(L30:L31)</f>
        <v>0</v>
      </c>
      <c r="M29" s="227">
        <f>SUM(M30:M31)</f>
        <v>0</v>
      </c>
      <c r="N29" s="227">
        <f>SUM(N30:N31)</f>
        <v>0</v>
      </c>
      <c r="O29" s="226">
        <f>SUM(P29:Q29)</f>
        <v>1855758500</v>
      </c>
      <c r="P29" s="226">
        <f>SUM(P30:P31)</f>
        <v>1855758500</v>
      </c>
      <c r="Q29" s="226">
        <f>SUM(Q30:Q31)</f>
        <v>0</v>
      </c>
      <c r="R29" s="226">
        <f>SUM(R30:R31)</f>
        <v>0</v>
      </c>
      <c r="S29" s="226">
        <f>+C29-O29-R29</f>
        <v>916241500</v>
      </c>
      <c r="T29" s="226">
        <f>SUM(T30:T31)</f>
        <v>916241500</v>
      </c>
      <c r="U29" s="226">
        <f>SUM(U30:U31)</f>
        <v>0</v>
      </c>
      <c r="V29" s="226">
        <f>SUM(V30:V31)</f>
        <v>0</v>
      </c>
      <c r="W29" s="226">
        <f>SUM(W30:W31)</f>
        <v>0</v>
      </c>
      <c r="X29" s="228">
        <f>SUM(X30:X31)</f>
        <v>0</v>
      </c>
      <c r="Y29" s="228">
        <f t="shared" ref="Y29:AL29" si="19">SUM(Y30:Y31)</f>
        <v>0</v>
      </c>
      <c r="Z29" s="228">
        <f t="shared" si="19"/>
        <v>0</v>
      </c>
      <c r="AA29" s="221">
        <f t="shared" si="19"/>
        <v>0</v>
      </c>
      <c r="AB29" s="284">
        <f t="shared" si="19"/>
        <v>0</v>
      </c>
      <c r="AC29" s="284">
        <f t="shared" si="19"/>
        <v>0</v>
      </c>
      <c r="AD29" s="284">
        <f t="shared" si="19"/>
        <v>0</v>
      </c>
      <c r="AE29" s="284">
        <f t="shared" si="19"/>
        <v>0</v>
      </c>
      <c r="AF29" s="284">
        <f t="shared" si="19"/>
        <v>0</v>
      </c>
      <c r="AG29" s="284">
        <f t="shared" si="19"/>
        <v>0</v>
      </c>
      <c r="AH29" s="284">
        <f t="shared" si="19"/>
        <v>0</v>
      </c>
      <c r="AI29" s="284">
        <f t="shared" si="19"/>
        <v>0</v>
      </c>
      <c r="AJ29" s="284">
        <f t="shared" si="19"/>
        <v>0</v>
      </c>
      <c r="AK29" s="284">
        <f t="shared" si="19"/>
        <v>0</v>
      </c>
      <c r="AL29" s="284">
        <f t="shared" si="19"/>
        <v>0</v>
      </c>
      <c r="AM29" s="315"/>
      <c r="AN29" s="315"/>
      <c r="AO29" s="275">
        <f t="shared" si="18"/>
        <v>0</v>
      </c>
    </row>
    <row r="30" spans="1:42" s="322" customFormat="1" ht="22.5" customHeight="1">
      <c r="A30" s="300" t="s">
        <v>115</v>
      </c>
      <c r="B30" s="301" t="s">
        <v>600</v>
      </c>
      <c r="C30" s="302">
        <f>+D30+I30</f>
        <v>2633000000</v>
      </c>
      <c r="D30" s="303">
        <f>SUM(E30:H30)</f>
        <v>952000000</v>
      </c>
      <c r="E30" s="303">
        <v>952000000</v>
      </c>
      <c r="F30" s="303"/>
      <c r="G30" s="303"/>
      <c r="H30" s="303"/>
      <c r="I30" s="303">
        <f>SUM(J30:M30)-N30</f>
        <v>1681000000</v>
      </c>
      <c r="J30" s="304"/>
      <c r="K30" s="304">
        <v>1681000000</v>
      </c>
      <c r="L30" s="304"/>
      <c r="M30" s="304"/>
      <c r="N30" s="305"/>
      <c r="O30" s="302">
        <f>SUM(P30:Q30)</f>
        <v>1763758500</v>
      </c>
      <c r="P30" s="316">
        <f>+C30-T30</f>
        <v>1763758500</v>
      </c>
      <c r="Q30" s="316"/>
      <c r="R30" s="307"/>
      <c r="S30" s="302">
        <f>+C30-O30-R30</f>
        <v>869241500</v>
      </c>
      <c r="T30" s="302">
        <v>869241500</v>
      </c>
      <c r="U30" s="307"/>
      <c r="V30" s="308"/>
      <c r="W30" s="309"/>
      <c r="X30" s="310"/>
      <c r="Y30" s="310"/>
      <c r="Z30" s="310"/>
      <c r="AA30" s="321"/>
      <c r="AB30" s="311"/>
      <c r="AC30" s="311"/>
      <c r="AD30" s="311"/>
      <c r="AE30" s="311"/>
      <c r="AF30" s="311"/>
      <c r="AG30" s="311"/>
      <c r="AH30" s="311"/>
      <c r="AI30" s="311"/>
      <c r="AJ30" s="311"/>
      <c r="AK30" s="311"/>
      <c r="AL30" s="311"/>
      <c r="AM30" s="312"/>
      <c r="AN30" s="312"/>
      <c r="AO30" s="275">
        <f t="shared" si="18"/>
        <v>0</v>
      </c>
    </row>
    <row r="31" spans="1:42" s="158" customFormat="1" ht="14.25">
      <c r="A31" s="224" t="s">
        <v>115</v>
      </c>
      <c r="B31" s="229" t="s">
        <v>609</v>
      </c>
      <c r="C31" s="226">
        <f>+D31+I31</f>
        <v>139000000</v>
      </c>
      <c r="D31" s="227">
        <f>SUM(E31:H31)</f>
        <v>48000000</v>
      </c>
      <c r="E31" s="227">
        <v>48000000</v>
      </c>
      <c r="F31" s="227"/>
      <c r="G31" s="227"/>
      <c r="H31" s="227"/>
      <c r="I31" s="227">
        <f>SUM(J31:M31)-N31</f>
        <v>91000000</v>
      </c>
      <c r="J31" s="230"/>
      <c r="K31" s="230">
        <v>91000000</v>
      </c>
      <c r="L31" s="230"/>
      <c r="M31" s="230"/>
      <c r="N31" s="231"/>
      <c r="O31" s="226">
        <f>SUM(P31:Q31)</f>
        <v>92000000</v>
      </c>
      <c r="P31" s="232">
        <f>+C31-T31</f>
        <v>92000000</v>
      </c>
      <c r="Q31" s="233"/>
      <c r="R31" s="233"/>
      <c r="S31" s="226">
        <f>+C31-O31-R31</f>
        <v>47000000</v>
      </c>
      <c r="T31" s="226">
        <v>47000000</v>
      </c>
      <c r="U31" s="233"/>
      <c r="V31" s="234"/>
      <c r="W31" s="235"/>
      <c r="X31" s="228"/>
      <c r="Y31" s="228"/>
      <c r="Z31" s="228"/>
      <c r="AA31" s="222"/>
      <c r="AB31" s="317"/>
      <c r="AC31" s="317"/>
      <c r="AD31" s="317"/>
      <c r="AE31" s="317"/>
      <c r="AF31" s="317"/>
      <c r="AG31" s="317"/>
      <c r="AH31" s="317"/>
      <c r="AI31" s="317"/>
      <c r="AJ31" s="317"/>
      <c r="AK31" s="317"/>
      <c r="AL31" s="317"/>
      <c r="AM31" s="315"/>
      <c r="AN31" s="315"/>
      <c r="AO31" s="275">
        <f t="shared" si="18"/>
        <v>0</v>
      </c>
    </row>
    <row r="32" spans="1:42" s="21" customFormat="1" ht="14.25">
      <c r="A32" s="246"/>
      <c r="B32" s="246" t="s">
        <v>209</v>
      </c>
      <c r="C32" s="246"/>
      <c r="D32" s="246"/>
      <c r="E32" s="246"/>
      <c r="F32" s="246"/>
      <c r="G32" s="246"/>
      <c r="H32" s="246"/>
      <c r="I32" s="246"/>
      <c r="J32" s="246"/>
      <c r="K32" s="246"/>
      <c r="L32" s="246"/>
      <c r="M32" s="246"/>
      <c r="N32" s="246"/>
      <c r="O32" s="246"/>
      <c r="P32" s="246"/>
      <c r="Q32" s="246"/>
      <c r="R32" s="246"/>
      <c r="S32" s="246"/>
      <c r="T32" s="246"/>
      <c r="U32" s="246"/>
      <c r="V32" s="246"/>
      <c r="W32" s="246"/>
      <c r="X32" s="247">
        <f>+X33+X36+X39+X42</f>
        <v>0</v>
      </c>
      <c r="Y32" s="247">
        <f t="shared" ref="Y32:AK32" si="20">+Y33+Y36+Y39+Y42</f>
        <v>0</v>
      </c>
      <c r="Z32" s="247">
        <f t="shared" si="20"/>
        <v>0</v>
      </c>
      <c r="AA32" s="248">
        <f t="shared" si="20"/>
        <v>0</v>
      </c>
      <c r="AB32" s="283">
        <f t="shared" si="20"/>
        <v>12000000</v>
      </c>
      <c r="AC32" s="283">
        <f t="shared" si="20"/>
        <v>0</v>
      </c>
      <c r="AD32" s="283">
        <f t="shared" si="20"/>
        <v>0</v>
      </c>
      <c r="AE32" s="283">
        <f t="shared" si="20"/>
        <v>0</v>
      </c>
      <c r="AF32" s="283">
        <f t="shared" si="20"/>
        <v>8000000</v>
      </c>
      <c r="AG32" s="283">
        <f t="shared" si="20"/>
        <v>0</v>
      </c>
      <c r="AH32" s="283">
        <f t="shared" si="20"/>
        <v>8000000</v>
      </c>
      <c r="AI32" s="283">
        <f t="shared" si="20"/>
        <v>4000000</v>
      </c>
      <c r="AJ32" s="283">
        <f t="shared" si="20"/>
        <v>0</v>
      </c>
      <c r="AK32" s="283">
        <f t="shared" si="20"/>
        <v>4000000</v>
      </c>
      <c r="AL32" s="283"/>
      <c r="AM32" s="323"/>
      <c r="AN32" s="323"/>
      <c r="AO32" s="275">
        <f t="shared" si="18"/>
        <v>36000000</v>
      </c>
    </row>
    <row r="33" spans="1:41" s="214" customFormat="1" ht="22.5" customHeight="1">
      <c r="A33" s="224" t="s">
        <v>62</v>
      </c>
      <c r="B33" s="225" t="s">
        <v>676</v>
      </c>
      <c r="C33" s="226">
        <f>+D33+I33</f>
        <v>4136000000</v>
      </c>
      <c r="D33" s="227">
        <f>SUM(E33:H33)</f>
        <v>530000000</v>
      </c>
      <c r="E33" s="227">
        <v>0</v>
      </c>
      <c r="F33" s="227">
        <v>530000000</v>
      </c>
      <c r="G33" s="227">
        <v>0</v>
      </c>
      <c r="H33" s="227">
        <v>0</v>
      </c>
      <c r="I33" s="227">
        <f>SUM(J33:M33)-N33</f>
        <v>3606000000</v>
      </c>
      <c r="J33" s="227">
        <f>SUM(J34:J35)</f>
        <v>0</v>
      </c>
      <c r="K33" s="227">
        <f>SUM(K34:K35)</f>
        <v>3574000000</v>
      </c>
      <c r="L33" s="227">
        <f>SUM(L34:L35)</f>
        <v>32000000</v>
      </c>
      <c r="M33" s="227">
        <f>SUM(M34:M35)</f>
        <v>0</v>
      </c>
      <c r="N33" s="227">
        <f>SUM(N34:N35)</f>
        <v>0</v>
      </c>
      <c r="O33" s="226">
        <f>SUM(P33:Q33)</f>
        <v>0</v>
      </c>
      <c r="P33" s="226">
        <f>SUM(P34:P35)</f>
        <v>0</v>
      </c>
      <c r="Q33" s="226">
        <f>SUM(Q34:Q35)</f>
        <v>0</v>
      </c>
      <c r="R33" s="226">
        <f>SUM(R34:R35)</f>
        <v>0</v>
      </c>
      <c r="S33" s="226">
        <f>+C33-O33-R33</f>
        <v>4136000000</v>
      </c>
      <c r="T33" s="226">
        <f>SUM(T34:T35)</f>
        <v>174000000</v>
      </c>
      <c r="U33" s="226">
        <f>SUM(U34:U35)</f>
        <v>0</v>
      </c>
      <c r="V33" s="226">
        <f>SUM(V34:V35)</f>
        <v>4136000000</v>
      </c>
      <c r="W33" s="226">
        <f>SUM(W34:W35)</f>
        <v>0</v>
      </c>
      <c r="X33" s="228">
        <f>SUM(X34:X35)</f>
        <v>0</v>
      </c>
      <c r="Y33" s="228">
        <f t="shared" ref="Y33:AK33" si="21">SUM(Y34:Y35)</f>
        <v>0</v>
      </c>
      <c r="Z33" s="228">
        <f t="shared" si="21"/>
        <v>0</v>
      </c>
      <c r="AA33" s="221">
        <f t="shared" si="21"/>
        <v>0</v>
      </c>
      <c r="AB33" s="284">
        <f t="shared" si="21"/>
        <v>12000000</v>
      </c>
      <c r="AC33" s="284">
        <f t="shared" si="21"/>
        <v>0</v>
      </c>
      <c r="AD33" s="284">
        <f t="shared" si="21"/>
        <v>0</v>
      </c>
      <c r="AE33" s="284">
        <f t="shared" si="21"/>
        <v>0</v>
      </c>
      <c r="AF33" s="284">
        <f t="shared" si="21"/>
        <v>8000000</v>
      </c>
      <c r="AG33" s="284">
        <f t="shared" si="21"/>
        <v>0</v>
      </c>
      <c r="AH33" s="284">
        <f t="shared" si="21"/>
        <v>8000000</v>
      </c>
      <c r="AI33" s="284">
        <f t="shared" si="21"/>
        <v>4000000</v>
      </c>
      <c r="AJ33" s="284">
        <f t="shared" si="21"/>
        <v>0</v>
      </c>
      <c r="AK33" s="284">
        <f t="shared" si="21"/>
        <v>4000000</v>
      </c>
      <c r="AL33" s="284"/>
      <c r="AM33" s="299"/>
      <c r="AN33" s="299"/>
      <c r="AO33" s="275">
        <f t="shared" si="18"/>
        <v>36000000</v>
      </c>
    </row>
    <row r="34" spans="1:41" s="214" customFormat="1" ht="14.25">
      <c r="A34" s="224" t="s">
        <v>115</v>
      </c>
      <c r="B34" s="229" t="s">
        <v>600</v>
      </c>
      <c r="C34" s="226">
        <f>+D34+I34</f>
        <v>3780000000</v>
      </c>
      <c r="D34" s="227">
        <f>SUM(E34:H34)</f>
        <v>490000000</v>
      </c>
      <c r="E34" s="227"/>
      <c r="F34" s="227">
        <v>490000000</v>
      </c>
      <c r="G34" s="227"/>
      <c r="H34" s="227"/>
      <c r="I34" s="227">
        <f>SUM(J34:M34)-N34</f>
        <v>3290000000</v>
      </c>
      <c r="J34" s="230"/>
      <c r="K34" s="230">
        <v>3290000000</v>
      </c>
      <c r="L34" s="230"/>
      <c r="M34" s="230"/>
      <c r="N34" s="231"/>
      <c r="O34" s="226">
        <f>SUM(P34:Q34)</f>
        <v>0</v>
      </c>
      <c r="P34" s="232"/>
      <c r="Q34" s="232"/>
      <c r="R34" s="233"/>
      <c r="S34" s="226">
        <f>+C34-O34-R34</f>
        <v>3780000000</v>
      </c>
      <c r="T34" s="233">
        <v>170000000</v>
      </c>
      <c r="U34" s="233"/>
      <c r="V34" s="234">
        <f>+S34</f>
        <v>3780000000</v>
      </c>
      <c r="W34" s="235"/>
      <c r="X34" s="228"/>
      <c r="Y34" s="228"/>
      <c r="Z34" s="228"/>
      <c r="AA34" s="221"/>
      <c r="AB34" s="284"/>
      <c r="AC34" s="284"/>
      <c r="AD34" s="284"/>
      <c r="AE34" s="284"/>
      <c r="AF34" s="284"/>
      <c r="AG34" s="284"/>
      <c r="AH34" s="284"/>
      <c r="AI34" s="284"/>
      <c r="AJ34" s="284"/>
      <c r="AK34" s="284"/>
      <c r="AL34" s="284"/>
      <c r="AM34" s="299"/>
      <c r="AN34" s="299"/>
      <c r="AO34" s="275">
        <f t="shared" si="18"/>
        <v>0</v>
      </c>
    </row>
    <row r="35" spans="1:41" s="214" customFormat="1" ht="33" customHeight="1">
      <c r="A35" s="224" t="s">
        <v>115</v>
      </c>
      <c r="B35" s="229" t="s">
        <v>609</v>
      </c>
      <c r="C35" s="226">
        <f>+D35+I35</f>
        <v>356000000</v>
      </c>
      <c r="D35" s="227">
        <f>SUM(E35:H35)</f>
        <v>40000000</v>
      </c>
      <c r="E35" s="227"/>
      <c r="F35" s="227">
        <v>40000000</v>
      </c>
      <c r="G35" s="227"/>
      <c r="H35" s="227"/>
      <c r="I35" s="227">
        <f>SUM(J35:M35)-N35</f>
        <v>316000000</v>
      </c>
      <c r="J35" s="230"/>
      <c r="K35" s="230">
        <v>284000000</v>
      </c>
      <c r="L35" s="230">
        <v>32000000</v>
      </c>
      <c r="M35" s="230"/>
      <c r="N35" s="231"/>
      <c r="O35" s="226">
        <f>SUM(P35:Q35)</f>
        <v>0</v>
      </c>
      <c r="P35" s="232"/>
      <c r="Q35" s="233"/>
      <c r="R35" s="233"/>
      <c r="S35" s="226">
        <f>+C35-O35-R35</f>
        <v>356000000</v>
      </c>
      <c r="T35" s="233">
        <v>4000000</v>
      </c>
      <c r="U35" s="233"/>
      <c r="V35" s="234">
        <f>+S35</f>
        <v>356000000</v>
      </c>
      <c r="W35" s="235"/>
      <c r="X35" s="228"/>
      <c r="Y35" s="228"/>
      <c r="Z35" s="228"/>
      <c r="AA35" s="221"/>
      <c r="AB35" s="284">
        <f>+AB9-AB22</f>
        <v>12000000</v>
      </c>
      <c r="AC35" s="284">
        <f t="shared" ref="AC35:AK35" si="22">+AC9-AC22</f>
        <v>0</v>
      </c>
      <c r="AD35" s="284">
        <f t="shared" si="22"/>
        <v>0</v>
      </c>
      <c r="AE35" s="284">
        <f t="shared" si="22"/>
        <v>0</v>
      </c>
      <c r="AF35" s="284">
        <f t="shared" si="22"/>
        <v>8000000</v>
      </c>
      <c r="AG35" s="284">
        <f t="shared" si="22"/>
        <v>0</v>
      </c>
      <c r="AH35" s="284">
        <f t="shared" si="22"/>
        <v>8000000</v>
      </c>
      <c r="AI35" s="284">
        <f t="shared" si="22"/>
        <v>4000000</v>
      </c>
      <c r="AJ35" s="284">
        <f t="shared" si="22"/>
        <v>0</v>
      </c>
      <c r="AK35" s="284">
        <f t="shared" si="22"/>
        <v>4000000</v>
      </c>
      <c r="AL35" s="284"/>
      <c r="AM35" s="299"/>
      <c r="AN35" s="299"/>
      <c r="AO35" s="275">
        <f t="shared" si="18"/>
        <v>36000000</v>
      </c>
    </row>
    <row r="36" spans="1:41" s="214" customFormat="1" ht="22.5" customHeight="1">
      <c r="A36" s="224" t="s">
        <v>62</v>
      </c>
      <c r="B36" s="225" t="s">
        <v>608</v>
      </c>
      <c r="C36" s="226">
        <f t="shared" ref="C36:J36" si="23">SUM(C37:C38)</f>
        <v>41934237599</v>
      </c>
      <c r="D36" s="227">
        <f t="shared" si="23"/>
        <v>4417237599</v>
      </c>
      <c r="E36" s="227">
        <f t="shared" si="23"/>
        <v>511199700</v>
      </c>
      <c r="F36" s="227">
        <f t="shared" si="23"/>
        <v>3900831855</v>
      </c>
      <c r="G36" s="227">
        <f t="shared" si="23"/>
        <v>5035900</v>
      </c>
      <c r="H36" s="227">
        <f t="shared" si="23"/>
        <v>170144</v>
      </c>
      <c r="I36" s="227">
        <f t="shared" si="23"/>
        <v>37517000000</v>
      </c>
      <c r="J36" s="227">
        <f t="shared" si="23"/>
        <v>0</v>
      </c>
      <c r="K36" s="227">
        <f>SUM(K37:K38)</f>
        <v>37517000000</v>
      </c>
      <c r="L36" s="227">
        <f t="shared" ref="L36:W36" si="24">SUM(L37:L38)</f>
        <v>0</v>
      </c>
      <c r="M36" s="227">
        <f t="shared" si="24"/>
        <v>0</v>
      </c>
      <c r="N36" s="227">
        <f t="shared" si="24"/>
        <v>0</v>
      </c>
      <c r="O36" s="226">
        <f t="shared" si="24"/>
        <v>40584097181</v>
      </c>
      <c r="P36" s="226">
        <f t="shared" si="24"/>
        <v>8418719100</v>
      </c>
      <c r="Q36" s="226">
        <f t="shared" si="24"/>
        <v>32165378081</v>
      </c>
      <c r="R36" s="226">
        <f t="shared" si="24"/>
        <v>5206044</v>
      </c>
      <c r="S36" s="226">
        <f t="shared" si="24"/>
        <v>1344934374</v>
      </c>
      <c r="T36" s="226">
        <f t="shared" si="24"/>
        <v>0</v>
      </c>
      <c r="U36" s="226">
        <f t="shared" si="24"/>
        <v>111938240</v>
      </c>
      <c r="V36" s="226">
        <f t="shared" si="24"/>
        <v>222959299</v>
      </c>
      <c r="W36" s="226">
        <f t="shared" si="24"/>
        <v>982141688</v>
      </c>
      <c r="X36" s="228">
        <f>SUM(X37:X38)</f>
        <v>0</v>
      </c>
      <c r="Y36" s="228">
        <f t="shared" ref="Y36:AN36" si="25">SUM(Y37:Y38)</f>
        <v>0</v>
      </c>
      <c r="Z36" s="228">
        <f t="shared" si="25"/>
        <v>0</v>
      </c>
      <c r="AA36" s="221">
        <f t="shared" si="25"/>
        <v>0</v>
      </c>
      <c r="AB36" s="284">
        <f t="shared" si="25"/>
        <v>0</v>
      </c>
      <c r="AC36" s="284">
        <f t="shared" si="25"/>
        <v>0</v>
      </c>
      <c r="AD36" s="284">
        <f t="shared" si="25"/>
        <v>0</v>
      </c>
      <c r="AE36" s="284">
        <f t="shared" si="25"/>
        <v>0</v>
      </c>
      <c r="AF36" s="284">
        <f t="shared" si="25"/>
        <v>0</v>
      </c>
      <c r="AG36" s="284">
        <f t="shared" si="25"/>
        <v>0</v>
      </c>
      <c r="AH36" s="284">
        <f t="shared" si="25"/>
        <v>0</v>
      </c>
      <c r="AI36" s="284">
        <f t="shared" si="25"/>
        <v>0</v>
      </c>
      <c r="AJ36" s="284">
        <f t="shared" si="25"/>
        <v>0</v>
      </c>
      <c r="AK36" s="284">
        <f t="shared" si="25"/>
        <v>0</v>
      </c>
      <c r="AL36" s="284">
        <f t="shared" si="25"/>
        <v>0</v>
      </c>
      <c r="AM36" s="299">
        <f t="shared" si="25"/>
        <v>0</v>
      </c>
      <c r="AN36" s="299">
        <f t="shared" si="25"/>
        <v>0</v>
      </c>
      <c r="AO36" s="275">
        <f t="shared" si="18"/>
        <v>0</v>
      </c>
    </row>
    <row r="37" spans="1:41" s="214" customFormat="1" ht="22.5" customHeight="1">
      <c r="A37" s="224" t="s">
        <v>115</v>
      </c>
      <c r="B37" s="229" t="s">
        <v>600</v>
      </c>
      <c r="C37" s="226">
        <f>+D37+I37</f>
        <v>39994141555</v>
      </c>
      <c r="D37" s="227">
        <f>SUM(E37:H37)</f>
        <v>4399141555</v>
      </c>
      <c r="E37" s="227">
        <v>498309700</v>
      </c>
      <c r="F37" s="236">
        <f>4639864513-F40</f>
        <v>3900831855</v>
      </c>
      <c r="G37" s="227">
        <v>0</v>
      </c>
      <c r="H37" s="227"/>
      <c r="I37" s="227">
        <f>SUM(J37:M37)-N37</f>
        <v>35595000000</v>
      </c>
      <c r="J37" s="230"/>
      <c r="K37" s="230">
        <v>35595000000</v>
      </c>
      <c r="L37" s="230"/>
      <c r="M37" s="230"/>
      <c r="N37" s="231"/>
      <c r="O37" s="226">
        <f>SUM(P37:Q37)</f>
        <v>38661621083</v>
      </c>
      <c r="P37" s="237">
        <f>475200000+4850900+7525685900</f>
        <v>8005736800</v>
      </c>
      <c r="Q37" s="237">
        <f>27497884283+3158000000</f>
        <v>30655884283</v>
      </c>
      <c r="R37" s="233"/>
      <c r="S37" s="226">
        <f>+C37-O37-R37</f>
        <v>1332520472</v>
      </c>
      <c r="T37" s="233"/>
      <c r="U37" s="233">
        <v>108774440</v>
      </c>
      <c r="V37" s="238">
        <f>82896300+140062999</f>
        <v>222959299</v>
      </c>
      <c r="W37" s="239">
        <f>379759077+602382611</f>
        <v>982141688</v>
      </c>
      <c r="X37" s="228"/>
      <c r="Y37" s="228"/>
      <c r="Z37" s="228"/>
      <c r="AA37" s="221"/>
      <c r="AB37" s="284"/>
      <c r="AC37" s="284"/>
      <c r="AD37" s="284"/>
      <c r="AE37" s="284"/>
      <c r="AF37" s="284"/>
      <c r="AG37" s="284"/>
      <c r="AH37" s="284"/>
      <c r="AI37" s="284"/>
      <c r="AJ37" s="284"/>
      <c r="AK37" s="284"/>
      <c r="AL37" s="284"/>
      <c r="AM37" s="299"/>
      <c r="AN37" s="299"/>
      <c r="AO37" s="275">
        <f t="shared" si="18"/>
        <v>0</v>
      </c>
    </row>
    <row r="38" spans="1:41" s="214" customFormat="1" ht="36.75" customHeight="1">
      <c r="A38" s="224" t="s">
        <v>115</v>
      </c>
      <c r="B38" s="229" t="s">
        <v>609</v>
      </c>
      <c r="C38" s="226">
        <f>+D38+I38</f>
        <v>1940096044</v>
      </c>
      <c r="D38" s="227">
        <f>SUM(E38:H38)</f>
        <v>18096044</v>
      </c>
      <c r="E38" s="227">
        <v>12890000</v>
      </c>
      <c r="F38" s="227"/>
      <c r="G38" s="227">
        <v>5035900</v>
      </c>
      <c r="H38" s="227">
        <v>170144</v>
      </c>
      <c r="I38" s="227">
        <f>SUM(J38:M38)-N38</f>
        <v>1922000000</v>
      </c>
      <c r="J38" s="230"/>
      <c r="K38" s="230">
        <v>1922000000</v>
      </c>
      <c r="L38" s="230"/>
      <c r="M38" s="230"/>
      <c r="N38" s="231"/>
      <c r="O38" s="226">
        <f>SUM(P38:Q38)</f>
        <v>1922476098</v>
      </c>
      <c r="P38" s="226">
        <f>402353100+10629200</f>
        <v>412982300</v>
      </c>
      <c r="Q38" s="240">
        <v>1509493798</v>
      </c>
      <c r="R38" s="241">
        <f>+G38+H38</f>
        <v>5206044</v>
      </c>
      <c r="S38" s="226">
        <f>+C38-O38-R38</f>
        <v>12413902</v>
      </c>
      <c r="T38" s="233"/>
      <c r="U38" s="233">
        <f>903000+2260800</f>
        <v>3163800</v>
      </c>
      <c r="V38" s="234"/>
      <c r="W38" s="235"/>
      <c r="X38" s="228"/>
      <c r="Y38" s="228"/>
      <c r="Z38" s="228"/>
      <c r="AA38" s="221"/>
      <c r="AB38" s="284"/>
      <c r="AC38" s="284"/>
      <c r="AD38" s="284"/>
      <c r="AE38" s="284"/>
      <c r="AF38" s="284"/>
      <c r="AG38" s="284"/>
      <c r="AH38" s="284"/>
      <c r="AI38" s="284"/>
      <c r="AJ38" s="284"/>
      <c r="AK38" s="284"/>
      <c r="AL38" s="284"/>
      <c r="AM38" s="299"/>
      <c r="AN38" s="299"/>
      <c r="AO38" s="275">
        <f t="shared" si="18"/>
        <v>0</v>
      </c>
    </row>
    <row r="39" spans="1:41" s="158" customFormat="1" ht="22.5" customHeight="1">
      <c r="A39" s="224" t="s">
        <v>62</v>
      </c>
      <c r="B39" s="229" t="s">
        <v>677</v>
      </c>
      <c r="C39" s="226">
        <f>SUM(C40:C41)</f>
        <v>739032658</v>
      </c>
      <c r="D39" s="227">
        <f t="shared" ref="D39:W39" si="26">SUM(D40:D41)</f>
        <v>739032658</v>
      </c>
      <c r="E39" s="227">
        <f t="shared" si="26"/>
        <v>0</v>
      </c>
      <c r="F39" s="227">
        <f t="shared" si="26"/>
        <v>739032658</v>
      </c>
      <c r="G39" s="227">
        <f t="shared" si="26"/>
        <v>0</v>
      </c>
      <c r="H39" s="227">
        <f t="shared" si="26"/>
        <v>0</v>
      </c>
      <c r="I39" s="227">
        <f t="shared" si="26"/>
        <v>0</v>
      </c>
      <c r="J39" s="227">
        <f t="shared" si="26"/>
        <v>0</v>
      </c>
      <c r="K39" s="227">
        <f t="shared" si="26"/>
        <v>0</v>
      </c>
      <c r="L39" s="227">
        <f t="shared" si="26"/>
        <v>0</v>
      </c>
      <c r="M39" s="227">
        <f t="shared" si="26"/>
        <v>0</v>
      </c>
      <c r="N39" s="227">
        <f t="shared" si="26"/>
        <v>0</v>
      </c>
      <c r="O39" s="226">
        <f t="shared" si="26"/>
        <v>646843888</v>
      </c>
      <c r="P39" s="226">
        <f t="shared" si="26"/>
        <v>0</v>
      </c>
      <c r="Q39" s="226">
        <f t="shared" si="26"/>
        <v>646843888</v>
      </c>
      <c r="R39" s="226">
        <f t="shared" si="26"/>
        <v>0</v>
      </c>
      <c r="S39" s="226">
        <f t="shared" si="26"/>
        <v>92188770</v>
      </c>
      <c r="T39" s="226">
        <f t="shared" si="26"/>
        <v>0</v>
      </c>
      <c r="U39" s="226">
        <f t="shared" si="26"/>
        <v>0</v>
      </c>
      <c r="V39" s="226">
        <f t="shared" si="26"/>
        <v>49428070</v>
      </c>
      <c r="W39" s="226">
        <f t="shared" si="26"/>
        <v>42760700</v>
      </c>
      <c r="X39" s="228">
        <f>SUM(X40:X41)</f>
        <v>0</v>
      </c>
      <c r="Y39" s="228">
        <f t="shared" ref="Y39:AL39" si="27">SUM(Y40:Y41)</f>
        <v>0</v>
      </c>
      <c r="Z39" s="228">
        <f t="shared" si="27"/>
        <v>0</v>
      </c>
      <c r="AA39" s="221">
        <f t="shared" si="27"/>
        <v>0</v>
      </c>
      <c r="AB39" s="284">
        <f t="shared" si="27"/>
        <v>0</v>
      </c>
      <c r="AC39" s="284">
        <f t="shared" si="27"/>
        <v>0</v>
      </c>
      <c r="AD39" s="284">
        <f t="shared" si="27"/>
        <v>0</v>
      </c>
      <c r="AE39" s="284">
        <f t="shared" si="27"/>
        <v>0</v>
      </c>
      <c r="AF39" s="284">
        <f t="shared" si="27"/>
        <v>0</v>
      </c>
      <c r="AG39" s="284">
        <f t="shared" si="27"/>
        <v>0</v>
      </c>
      <c r="AH39" s="284">
        <f t="shared" si="27"/>
        <v>0</v>
      </c>
      <c r="AI39" s="284">
        <f t="shared" si="27"/>
        <v>0</v>
      </c>
      <c r="AJ39" s="284">
        <f t="shared" si="27"/>
        <v>0</v>
      </c>
      <c r="AK39" s="284">
        <f t="shared" si="27"/>
        <v>0</v>
      </c>
      <c r="AL39" s="284">
        <f t="shared" si="27"/>
        <v>0</v>
      </c>
      <c r="AM39" s="315"/>
      <c r="AN39" s="315"/>
      <c r="AO39" s="275">
        <f t="shared" si="18"/>
        <v>0</v>
      </c>
    </row>
    <row r="40" spans="1:41" s="158" customFormat="1" ht="22.5" customHeight="1">
      <c r="A40" s="224" t="s">
        <v>115</v>
      </c>
      <c r="B40" s="229" t="s">
        <v>600</v>
      </c>
      <c r="C40" s="226">
        <f>+D40+I40</f>
        <v>739032658</v>
      </c>
      <c r="D40" s="227">
        <f>SUM(E40:H40)</f>
        <v>739032658</v>
      </c>
      <c r="E40" s="227"/>
      <c r="F40" s="242">
        <v>739032658</v>
      </c>
      <c r="G40" s="227"/>
      <c r="H40" s="227"/>
      <c r="I40" s="227">
        <f>SUM(J40:M40)-N40</f>
        <v>0</v>
      </c>
      <c r="J40" s="230"/>
      <c r="K40" s="230"/>
      <c r="L40" s="230"/>
      <c r="M40" s="230"/>
      <c r="N40" s="231"/>
      <c r="O40" s="226">
        <f>SUM(P40:Q40)</f>
        <v>646843888</v>
      </c>
      <c r="P40" s="232"/>
      <c r="Q40" s="232">
        <v>646843888</v>
      </c>
      <c r="R40" s="233"/>
      <c r="S40" s="226">
        <f>+C40-O40-R40</f>
        <v>92188770</v>
      </c>
      <c r="T40" s="233"/>
      <c r="U40" s="233"/>
      <c r="V40" s="234">
        <v>49428070</v>
      </c>
      <c r="W40" s="235">
        <v>42760700</v>
      </c>
      <c r="X40" s="228"/>
      <c r="Y40" s="228"/>
      <c r="Z40" s="228"/>
      <c r="AA40" s="222"/>
      <c r="AB40" s="317"/>
      <c r="AC40" s="317"/>
      <c r="AD40" s="317"/>
      <c r="AE40" s="317"/>
      <c r="AF40" s="317"/>
      <c r="AG40" s="317"/>
      <c r="AH40" s="317"/>
      <c r="AI40" s="317"/>
      <c r="AJ40" s="317"/>
      <c r="AK40" s="317"/>
      <c r="AL40" s="317"/>
      <c r="AM40" s="315"/>
      <c r="AN40" s="315"/>
      <c r="AO40" s="275">
        <f t="shared" si="18"/>
        <v>0</v>
      </c>
    </row>
    <row r="41" spans="1:41" s="158" customFormat="1" ht="40.5" customHeight="1">
      <c r="A41" s="224" t="s">
        <v>115</v>
      </c>
      <c r="B41" s="229" t="s">
        <v>609</v>
      </c>
      <c r="C41" s="226">
        <f>+D41+I41</f>
        <v>0</v>
      </c>
      <c r="D41" s="227">
        <f>SUM(E41:H41)</f>
        <v>0</v>
      </c>
      <c r="E41" s="227"/>
      <c r="F41" s="227"/>
      <c r="G41" s="227"/>
      <c r="H41" s="227"/>
      <c r="I41" s="227">
        <f>SUM(J41:M41)-N41</f>
        <v>0</v>
      </c>
      <c r="J41" s="230"/>
      <c r="K41" s="230"/>
      <c r="L41" s="230"/>
      <c r="M41" s="230"/>
      <c r="N41" s="231"/>
      <c r="O41" s="226">
        <f>SUM(P41:Q41)</f>
        <v>0</v>
      </c>
      <c r="P41" s="232"/>
      <c r="Q41" s="233"/>
      <c r="R41" s="233"/>
      <c r="S41" s="226">
        <f>+C41-O41-R41</f>
        <v>0</v>
      </c>
      <c r="T41" s="233">
        <f>+C41-O41</f>
        <v>0</v>
      </c>
      <c r="U41" s="233"/>
      <c r="V41" s="234"/>
      <c r="W41" s="235"/>
      <c r="X41" s="228"/>
      <c r="Y41" s="228"/>
      <c r="Z41" s="228"/>
      <c r="AA41" s="222"/>
      <c r="AB41" s="317"/>
      <c r="AC41" s="317"/>
      <c r="AD41" s="317"/>
      <c r="AE41" s="317"/>
      <c r="AF41" s="317"/>
      <c r="AG41" s="317"/>
      <c r="AH41" s="317"/>
      <c r="AI41" s="317"/>
      <c r="AJ41" s="317"/>
      <c r="AK41" s="317"/>
      <c r="AL41" s="317"/>
      <c r="AM41" s="315"/>
      <c r="AN41" s="315"/>
      <c r="AO41" s="275">
        <f t="shared" si="18"/>
        <v>0</v>
      </c>
    </row>
    <row r="42" spans="1:41" s="158" customFormat="1" ht="22.5" customHeight="1">
      <c r="A42" s="224" t="s">
        <v>62</v>
      </c>
      <c r="B42" s="243" t="s">
        <v>688</v>
      </c>
      <c r="C42" s="226">
        <f>+D42+I42</f>
        <v>2772000000</v>
      </c>
      <c r="D42" s="227">
        <f>SUM(E42:H42)</f>
        <v>1000000000</v>
      </c>
      <c r="E42" s="227">
        <v>1000000000</v>
      </c>
      <c r="F42" s="227">
        <v>0</v>
      </c>
      <c r="G42" s="227">
        <v>0</v>
      </c>
      <c r="H42" s="227">
        <v>0</v>
      </c>
      <c r="I42" s="227">
        <f>SUM(J42:M42)-N42</f>
        <v>1772000000</v>
      </c>
      <c r="J42" s="227">
        <f>SUM(J43:J44)</f>
        <v>0</v>
      </c>
      <c r="K42" s="227">
        <f>SUM(K43:K44)</f>
        <v>1772000000</v>
      </c>
      <c r="L42" s="227">
        <f>SUM(L43:L44)</f>
        <v>0</v>
      </c>
      <c r="M42" s="227">
        <f>SUM(M43:M44)</f>
        <v>0</v>
      </c>
      <c r="N42" s="227">
        <f>SUM(N43:N44)</f>
        <v>0</v>
      </c>
      <c r="O42" s="226">
        <f>SUM(P42:Q42)</f>
        <v>1855758500</v>
      </c>
      <c r="P42" s="226">
        <f>SUM(P43:P44)</f>
        <v>1855758500</v>
      </c>
      <c r="Q42" s="226">
        <f>SUM(Q43:Q44)</f>
        <v>0</v>
      </c>
      <c r="R42" s="226">
        <f>SUM(R43:R44)</f>
        <v>0</v>
      </c>
      <c r="S42" s="226">
        <f>+C42-O42-R42</f>
        <v>916241500</v>
      </c>
      <c r="T42" s="226">
        <f>SUM(T43:T44)</f>
        <v>916241500</v>
      </c>
      <c r="U42" s="226">
        <f>SUM(U43:U44)</f>
        <v>0</v>
      </c>
      <c r="V42" s="226">
        <f>SUM(V43:V44)</f>
        <v>0</v>
      </c>
      <c r="W42" s="226">
        <f>SUM(W43:W44)</f>
        <v>0</v>
      </c>
      <c r="X42" s="228">
        <f>SUM(X43:X44)</f>
        <v>0</v>
      </c>
      <c r="Y42" s="228">
        <f t="shared" ref="Y42:AL42" si="28">SUM(Y43:Y44)</f>
        <v>0</v>
      </c>
      <c r="Z42" s="228">
        <f t="shared" si="28"/>
        <v>0</v>
      </c>
      <c r="AA42" s="221">
        <f t="shared" si="28"/>
        <v>0</v>
      </c>
      <c r="AB42" s="284">
        <f t="shared" si="28"/>
        <v>0</v>
      </c>
      <c r="AC42" s="284">
        <f t="shared" si="28"/>
        <v>0</v>
      </c>
      <c r="AD42" s="284">
        <f t="shared" si="28"/>
        <v>0</v>
      </c>
      <c r="AE42" s="284">
        <f t="shared" si="28"/>
        <v>0</v>
      </c>
      <c r="AF42" s="284">
        <f t="shared" si="28"/>
        <v>0</v>
      </c>
      <c r="AG42" s="284">
        <f t="shared" si="28"/>
        <v>0</v>
      </c>
      <c r="AH42" s="284">
        <f t="shared" si="28"/>
        <v>0</v>
      </c>
      <c r="AI42" s="284">
        <f t="shared" si="28"/>
        <v>0</v>
      </c>
      <c r="AJ42" s="284">
        <f t="shared" si="28"/>
        <v>0</v>
      </c>
      <c r="AK42" s="284">
        <f t="shared" si="28"/>
        <v>0</v>
      </c>
      <c r="AL42" s="284">
        <f t="shared" si="28"/>
        <v>0</v>
      </c>
      <c r="AM42" s="315"/>
      <c r="AN42" s="315"/>
      <c r="AO42" s="275">
        <f t="shared" si="18"/>
        <v>0</v>
      </c>
    </row>
    <row r="43" spans="1:41" s="158" customFormat="1" ht="22.5" customHeight="1">
      <c r="A43" s="224" t="s">
        <v>115</v>
      </c>
      <c r="B43" s="229" t="s">
        <v>600</v>
      </c>
      <c r="C43" s="226">
        <f>+D43+I43</f>
        <v>2633000000</v>
      </c>
      <c r="D43" s="227">
        <f>SUM(E43:H43)</f>
        <v>952000000</v>
      </c>
      <c r="E43" s="227">
        <v>952000000</v>
      </c>
      <c r="F43" s="227"/>
      <c r="G43" s="227"/>
      <c r="H43" s="227"/>
      <c r="I43" s="227">
        <f>SUM(J43:M43)-N43</f>
        <v>1681000000</v>
      </c>
      <c r="J43" s="230"/>
      <c r="K43" s="230">
        <v>1681000000</v>
      </c>
      <c r="L43" s="230"/>
      <c r="M43" s="230"/>
      <c r="N43" s="231"/>
      <c r="O43" s="226">
        <f>SUM(P43:Q43)</f>
        <v>1763758500</v>
      </c>
      <c r="P43" s="232">
        <f>+C43-T43</f>
        <v>1763758500</v>
      </c>
      <c r="Q43" s="232"/>
      <c r="R43" s="233"/>
      <c r="S43" s="226">
        <f>+C43-O43-R43</f>
        <v>869241500</v>
      </c>
      <c r="T43" s="226">
        <v>869241500</v>
      </c>
      <c r="U43" s="233"/>
      <c r="V43" s="234"/>
      <c r="W43" s="235"/>
      <c r="X43" s="228"/>
      <c r="Y43" s="228"/>
      <c r="Z43" s="228"/>
      <c r="AA43" s="222"/>
      <c r="AB43" s="317"/>
      <c r="AC43" s="317"/>
      <c r="AD43" s="317"/>
      <c r="AE43" s="317"/>
      <c r="AF43" s="317"/>
      <c r="AG43" s="317"/>
      <c r="AH43" s="317"/>
      <c r="AI43" s="317"/>
      <c r="AJ43" s="317"/>
      <c r="AK43" s="317"/>
      <c r="AL43" s="317"/>
      <c r="AM43" s="315"/>
      <c r="AN43" s="315"/>
      <c r="AO43" s="275">
        <f t="shared" si="18"/>
        <v>0</v>
      </c>
    </row>
    <row r="44" spans="1:41" s="158" customFormat="1" ht="30" customHeight="1">
      <c r="A44" s="224" t="s">
        <v>115</v>
      </c>
      <c r="B44" s="229" t="s">
        <v>609</v>
      </c>
      <c r="C44" s="226">
        <f>+D44+I44</f>
        <v>139000000</v>
      </c>
      <c r="D44" s="227">
        <f>SUM(E44:H44)</f>
        <v>48000000</v>
      </c>
      <c r="E44" s="227">
        <v>48000000</v>
      </c>
      <c r="F44" s="227"/>
      <c r="G44" s="227"/>
      <c r="H44" s="227"/>
      <c r="I44" s="227">
        <f>SUM(J44:M44)-N44</f>
        <v>91000000</v>
      </c>
      <c r="J44" s="230"/>
      <c r="K44" s="230">
        <v>91000000</v>
      </c>
      <c r="L44" s="230"/>
      <c r="M44" s="230"/>
      <c r="N44" s="231"/>
      <c r="O44" s="226">
        <f>SUM(P44:Q44)</f>
        <v>92000000</v>
      </c>
      <c r="P44" s="232">
        <f>+C44-T44</f>
        <v>92000000</v>
      </c>
      <c r="Q44" s="233"/>
      <c r="R44" s="233"/>
      <c r="S44" s="226">
        <f>+C44-O44-R44</f>
        <v>47000000</v>
      </c>
      <c r="T44" s="226">
        <v>47000000</v>
      </c>
      <c r="U44" s="233"/>
      <c r="V44" s="234"/>
      <c r="W44" s="235"/>
      <c r="X44" s="228"/>
      <c r="Y44" s="228"/>
      <c r="Z44" s="228"/>
      <c r="AA44" s="222"/>
      <c r="AB44" s="317"/>
      <c r="AC44" s="317"/>
      <c r="AD44" s="317"/>
      <c r="AE44" s="317"/>
      <c r="AF44" s="317"/>
      <c r="AG44" s="317"/>
      <c r="AH44" s="317"/>
      <c r="AI44" s="317"/>
      <c r="AJ44" s="317"/>
      <c r="AK44" s="317"/>
      <c r="AL44" s="317"/>
      <c r="AM44" s="315"/>
      <c r="AN44" s="315"/>
      <c r="AO44" s="275">
        <f t="shared" si="18"/>
        <v>0</v>
      </c>
    </row>
    <row r="45" spans="1:41" ht="22.5" customHeight="1">
      <c r="AO45" s="275">
        <f t="shared" si="18"/>
        <v>0</v>
      </c>
    </row>
    <row r="46" spans="1:41" s="209" customFormat="1" ht="22.5" customHeight="1">
      <c r="A46" s="246"/>
      <c r="B46" s="246" t="s">
        <v>708</v>
      </c>
      <c r="C46" s="246"/>
      <c r="D46" s="246"/>
      <c r="E46" s="246"/>
      <c r="F46" s="246"/>
      <c r="G46" s="246"/>
      <c r="H46" s="246"/>
      <c r="I46" s="246"/>
      <c r="J46" s="246"/>
      <c r="K46" s="246"/>
      <c r="L46" s="246"/>
      <c r="M46" s="246"/>
      <c r="N46" s="246"/>
      <c r="O46" s="246"/>
      <c r="P46" s="246"/>
      <c r="Q46" s="246"/>
      <c r="R46" s="246"/>
      <c r="S46" s="246"/>
      <c r="T46" s="246"/>
      <c r="U46" s="246"/>
      <c r="V46" s="246"/>
      <c r="W46" s="246"/>
      <c r="X46" s="326"/>
      <c r="Y46" s="326"/>
      <c r="Z46" s="326"/>
      <c r="AA46" s="246" t="s">
        <v>310</v>
      </c>
      <c r="AB46" s="327"/>
      <c r="AC46" s="327"/>
      <c r="AD46" s="327"/>
      <c r="AE46" s="327"/>
      <c r="AF46" s="327"/>
      <c r="AG46" s="327"/>
      <c r="AH46" s="328"/>
      <c r="AI46" s="328"/>
      <c r="AJ46" s="328"/>
      <c r="AK46" s="328"/>
      <c r="AL46" s="328"/>
      <c r="AM46" s="329"/>
      <c r="AN46" s="329"/>
      <c r="AO46" s="275">
        <f t="shared" si="18"/>
        <v>0</v>
      </c>
    </row>
    <row r="47" spans="1:41" s="21" customFormat="1" ht="22.5" customHeight="1">
      <c r="A47" s="246"/>
      <c r="B47" s="246" t="s">
        <v>315</v>
      </c>
      <c r="C47" s="246"/>
      <c r="D47" s="246"/>
      <c r="E47" s="246"/>
      <c r="F47" s="246"/>
      <c r="G47" s="246"/>
      <c r="H47" s="246"/>
      <c r="I47" s="246"/>
      <c r="J47" s="246"/>
      <c r="K47" s="246"/>
      <c r="L47" s="246"/>
      <c r="M47" s="246"/>
      <c r="N47" s="246"/>
      <c r="O47" s="246"/>
      <c r="P47" s="246"/>
      <c r="Q47" s="246"/>
      <c r="R47" s="246"/>
      <c r="S47" s="246"/>
      <c r="T47" s="246"/>
      <c r="U47" s="246"/>
      <c r="V47" s="246"/>
      <c r="W47" s="246"/>
      <c r="X47" s="247">
        <f>+X48</f>
        <v>0</v>
      </c>
      <c r="Y47" s="247">
        <f t="shared" ref="Y47:AN47" si="29">+Y48</f>
        <v>256435072</v>
      </c>
      <c r="Z47" s="247">
        <f t="shared" si="29"/>
        <v>220517000</v>
      </c>
      <c r="AA47" s="247">
        <f t="shared" si="29"/>
        <v>1232900000</v>
      </c>
      <c r="AB47" s="247">
        <f t="shared" si="29"/>
        <v>657982000</v>
      </c>
      <c r="AC47" s="247">
        <f t="shared" si="29"/>
        <v>404900000</v>
      </c>
      <c r="AD47" s="247">
        <f t="shared" si="29"/>
        <v>533246000</v>
      </c>
      <c r="AE47" s="247">
        <f t="shared" si="29"/>
        <v>30312000</v>
      </c>
      <c r="AF47" s="247">
        <f t="shared" si="29"/>
        <v>415400000</v>
      </c>
      <c r="AG47" s="247">
        <f t="shared" si="29"/>
        <v>241665344</v>
      </c>
      <c r="AH47" s="247">
        <f t="shared" si="29"/>
        <v>64400000</v>
      </c>
      <c r="AI47" s="247">
        <f t="shared" si="29"/>
        <v>734481324</v>
      </c>
      <c r="AJ47" s="247">
        <f t="shared" si="29"/>
        <v>515669369</v>
      </c>
      <c r="AK47" s="247">
        <f t="shared" si="29"/>
        <v>419920000</v>
      </c>
      <c r="AL47" s="247">
        <f t="shared" si="29"/>
        <v>0</v>
      </c>
      <c r="AM47" s="247">
        <f t="shared" si="29"/>
        <v>0</v>
      </c>
      <c r="AN47" s="247">
        <f t="shared" si="29"/>
        <v>0</v>
      </c>
      <c r="AO47" s="275">
        <f t="shared" si="18"/>
        <v>5727828109</v>
      </c>
    </row>
    <row r="48" spans="1:41" s="180" customFormat="1" ht="22.5" customHeight="1">
      <c r="A48" s="224" t="s">
        <v>62</v>
      </c>
      <c r="B48" s="225" t="s">
        <v>709</v>
      </c>
      <c r="C48" s="226">
        <f>+D48+I48</f>
        <v>4136000000</v>
      </c>
      <c r="D48" s="227">
        <f>SUM(E48:H48)</f>
        <v>530000000</v>
      </c>
      <c r="E48" s="227">
        <v>0</v>
      </c>
      <c r="F48" s="227">
        <v>530000000</v>
      </c>
      <c r="G48" s="227">
        <v>0</v>
      </c>
      <c r="H48" s="227">
        <v>0</v>
      </c>
      <c r="I48" s="227">
        <f>SUM(J48:M48)-N48</f>
        <v>3606000000</v>
      </c>
      <c r="J48" s="227">
        <f>SUM(J49:J50)</f>
        <v>0</v>
      </c>
      <c r="K48" s="227">
        <f>SUM(K49:K50)</f>
        <v>3574000000</v>
      </c>
      <c r="L48" s="227">
        <f>SUM(L49:L50)</f>
        <v>32000000</v>
      </c>
      <c r="M48" s="227">
        <f>SUM(M49:M50)</f>
        <v>0</v>
      </c>
      <c r="N48" s="227">
        <f>SUM(N49:N50)</f>
        <v>0</v>
      </c>
      <c r="O48" s="226">
        <f>SUM(P48:Q48)</f>
        <v>0</v>
      </c>
      <c r="P48" s="226">
        <f>SUM(P49:P50)</f>
        <v>0</v>
      </c>
      <c r="Q48" s="226">
        <f>SUM(Q49:Q50)</f>
        <v>0</v>
      </c>
      <c r="R48" s="226">
        <f>SUM(R49:R50)</f>
        <v>0</v>
      </c>
      <c r="S48" s="226">
        <f>+C48-O48-R48</f>
        <v>4136000000</v>
      </c>
      <c r="T48" s="226">
        <f>SUM(T49:T50)</f>
        <v>174000000</v>
      </c>
      <c r="U48" s="226">
        <f>SUM(U49:U50)</f>
        <v>0</v>
      </c>
      <c r="V48" s="226">
        <f>SUM(V49:V50)</f>
        <v>4136000000</v>
      </c>
      <c r="W48" s="226">
        <f>SUM(W49:W50)</f>
        <v>0</v>
      </c>
      <c r="X48" s="228">
        <f>SUM(X49:X50)</f>
        <v>0</v>
      </c>
      <c r="Y48" s="228">
        <f t="shared" ref="Y48:AK48" si="30">SUM(Y49:Y50)</f>
        <v>256435072</v>
      </c>
      <c r="Z48" s="228">
        <f t="shared" si="30"/>
        <v>220517000</v>
      </c>
      <c r="AA48" s="228">
        <f>SUM(AA49:AA50)</f>
        <v>1232900000</v>
      </c>
      <c r="AB48" s="317">
        <f t="shared" si="30"/>
        <v>657982000</v>
      </c>
      <c r="AC48" s="317">
        <f t="shared" si="30"/>
        <v>404900000</v>
      </c>
      <c r="AD48" s="317">
        <f t="shared" si="30"/>
        <v>533246000</v>
      </c>
      <c r="AE48" s="317">
        <f t="shared" si="30"/>
        <v>30312000</v>
      </c>
      <c r="AF48" s="317">
        <f t="shared" si="30"/>
        <v>415400000</v>
      </c>
      <c r="AG48" s="317">
        <f t="shared" si="30"/>
        <v>241665344</v>
      </c>
      <c r="AH48" s="317">
        <f t="shared" si="30"/>
        <v>64400000</v>
      </c>
      <c r="AI48" s="317">
        <f t="shared" si="30"/>
        <v>734481324</v>
      </c>
      <c r="AJ48" s="317">
        <f t="shared" si="30"/>
        <v>515669369</v>
      </c>
      <c r="AK48" s="317">
        <f t="shared" si="30"/>
        <v>419920000</v>
      </c>
      <c r="AL48" s="330"/>
      <c r="AM48" s="331"/>
      <c r="AN48" s="331"/>
      <c r="AO48" s="275">
        <f t="shared" si="18"/>
        <v>5727828109</v>
      </c>
    </row>
    <row r="49" spans="1:41" s="180" customFormat="1" ht="22.5" customHeight="1">
      <c r="A49" s="224" t="s">
        <v>115</v>
      </c>
      <c r="B49" s="229" t="s">
        <v>600</v>
      </c>
      <c r="C49" s="226">
        <f>+D49+I49</f>
        <v>3780000000</v>
      </c>
      <c r="D49" s="227">
        <f>SUM(E49:H49)</f>
        <v>490000000</v>
      </c>
      <c r="E49" s="227"/>
      <c r="F49" s="227">
        <v>490000000</v>
      </c>
      <c r="G49" s="227"/>
      <c r="H49" s="227"/>
      <c r="I49" s="227">
        <f>SUM(J49:M49)-N49</f>
        <v>3290000000</v>
      </c>
      <c r="J49" s="230"/>
      <c r="K49" s="230">
        <v>3290000000</v>
      </c>
      <c r="L49" s="230"/>
      <c r="M49" s="230"/>
      <c r="N49" s="231"/>
      <c r="O49" s="226">
        <f>SUM(P49:Q49)</f>
        <v>0</v>
      </c>
      <c r="P49" s="232"/>
      <c r="Q49" s="232"/>
      <c r="R49" s="233"/>
      <c r="S49" s="226">
        <f>+C49-O49-R49</f>
        <v>3780000000</v>
      </c>
      <c r="T49" s="233">
        <v>170000000</v>
      </c>
      <c r="U49" s="233"/>
      <c r="V49" s="234">
        <f>+S49</f>
        <v>3780000000</v>
      </c>
      <c r="W49" s="235"/>
      <c r="X49" s="228"/>
      <c r="Y49" s="228">
        <v>256435072</v>
      </c>
      <c r="Z49" s="228">
        <v>220517000</v>
      </c>
      <c r="AA49" s="253">
        <f>129900000+1049000000</f>
        <v>1178900000</v>
      </c>
      <c r="AB49" s="317">
        <v>641582000</v>
      </c>
      <c r="AC49" s="317">
        <v>404900000</v>
      </c>
      <c r="AD49" s="317">
        <v>533246000</v>
      </c>
      <c r="AE49" s="317">
        <v>30312000</v>
      </c>
      <c r="AF49" s="317">
        <v>415400000</v>
      </c>
      <c r="AG49" s="317">
        <v>241665344</v>
      </c>
      <c r="AH49" s="317">
        <v>64400000</v>
      </c>
      <c r="AI49" s="332">
        <v>734481324</v>
      </c>
      <c r="AJ49" s="332">
        <v>515669369</v>
      </c>
      <c r="AK49" s="332">
        <v>419920000</v>
      </c>
      <c r="AL49" s="332">
        <v>419080000</v>
      </c>
      <c r="AM49" s="333">
        <v>410796732</v>
      </c>
      <c r="AN49" s="333"/>
      <c r="AO49" s="275">
        <f t="shared" si="18"/>
        <v>6487304841</v>
      </c>
    </row>
    <row r="50" spans="1:41" s="180" customFormat="1" ht="22.5" customHeight="1">
      <c r="A50" s="224" t="s">
        <v>115</v>
      </c>
      <c r="B50" s="229" t="s">
        <v>609</v>
      </c>
      <c r="C50" s="226">
        <f>+D50+I50</f>
        <v>356000000</v>
      </c>
      <c r="D50" s="227">
        <f>SUM(E50:H50)</f>
        <v>40000000</v>
      </c>
      <c r="E50" s="227"/>
      <c r="F50" s="227">
        <v>40000000</v>
      </c>
      <c r="G50" s="227"/>
      <c r="H50" s="227"/>
      <c r="I50" s="227">
        <f>SUM(J50:M50)-N50</f>
        <v>316000000</v>
      </c>
      <c r="J50" s="230"/>
      <c r="K50" s="230">
        <v>284000000</v>
      </c>
      <c r="L50" s="230">
        <v>32000000</v>
      </c>
      <c r="M50" s="230"/>
      <c r="N50" s="231"/>
      <c r="O50" s="226">
        <f>SUM(P50:Q50)</f>
        <v>0</v>
      </c>
      <c r="P50" s="232"/>
      <c r="Q50" s="233"/>
      <c r="R50" s="233"/>
      <c r="S50" s="226">
        <f>+C50-O50-R50</f>
        <v>356000000</v>
      </c>
      <c r="T50" s="233">
        <v>4000000</v>
      </c>
      <c r="U50" s="233"/>
      <c r="V50" s="234">
        <f>+S50</f>
        <v>356000000</v>
      </c>
      <c r="W50" s="235"/>
      <c r="X50" s="228"/>
      <c r="Y50" s="228"/>
      <c r="Z50" s="228"/>
      <c r="AA50" s="228">
        <v>54000000</v>
      </c>
      <c r="AB50" s="317">
        <v>16400000</v>
      </c>
      <c r="AC50" s="317"/>
      <c r="AD50" s="317"/>
      <c r="AE50" s="317"/>
      <c r="AF50" s="317"/>
      <c r="AG50" s="317"/>
      <c r="AH50" s="330"/>
      <c r="AI50" s="330"/>
      <c r="AJ50" s="330"/>
      <c r="AK50" s="330"/>
      <c r="AL50" s="330"/>
      <c r="AM50" s="331"/>
      <c r="AN50" s="331"/>
      <c r="AO50" s="275">
        <f t="shared" si="18"/>
        <v>70400000</v>
      </c>
    </row>
    <row r="51" spans="1:41" s="263" customFormat="1" ht="22.5" customHeight="1">
      <c r="A51" s="261"/>
      <c r="B51" s="261" t="s">
        <v>146</v>
      </c>
      <c r="C51" s="261"/>
      <c r="D51" s="261"/>
      <c r="E51" s="261"/>
      <c r="F51" s="261"/>
      <c r="G51" s="261"/>
      <c r="H51" s="261"/>
      <c r="I51" s="261"/>
      <c r="J51" s="261"/>
      <c r="K51" s="261"/>
      <c r="L51" s="261"/>
      <c r="M51" s="261"/>
      <c r="N51" s="261"/>
      <c r="O51" s="261"/>
      <c r="P51" s="261"/>
      <c r="Q51" s="261"/>
      <c r="R51" s="261"/>
      <c r="S51" s="261"/>
      <c r="T51" s="261"/>
      <c r="U51" s="261"/>
      <c r="V51" s="261"/>
      <c r="W51" s="261"/>
      <c r="X51" s="262">
        <f>+X52+X55+X59+X62</f>
        <v>0</v>
      </c>
      <c r="Y51" s="262">
        <f>+Y52</f>
        <v>233185972</v>
      </c>
      <c r="Z51" s="262">
        <f t="shared" ref="Z51:AN51" si="31">+Z52</f>
        <v>130538400</v>
      </c>
      <c r="AA51" s="262">
        <f t="shared" si="31"/>
        <v>1168847637</v>
      </c>
      <c r="AB51" s="262">
        <f t="shared" si="31"/>
        <v>334668500</v>
      </c>
      <c r="AC51" s="262">
        <f t="shared" si="31"/>
        <v>384891900</v>
      </c>
      <c r="AD51" s="262">
        <f t="shared" si="31"/>
        <v>318007900</v>
      </c>
      <c r="AE51" s="262">
        <f t="shared" si="31"/>
        <v>0</v>
      </c>
      <c r="AF51" s="262">
        <f t="shared" si="31"/>
        <v>82766410</v>
      </c>
      <c r="AG51" s="262">
        <f t="shared" si="31"/>
        <v>220678374</v>
      </c>
      <c r="AH51" s="262">
        <f t="shared" si="31"/>
        <v>51717200</v>
      </c>
      <c r="AI51" s="262">
        <f t="shared" si="31"/>
        <v>265596324</v>
      </c>
      <c r="AJ51" s="262">
        <f t="shared" si="31"/>
        <v>402949269</v>
      </c>
      <c r="AK51" s="262">
        <f t="shared" si="31"/>
        <v>333222000</v>
      </c>
      <c r="AL51" s="262">
        <f t="shared" si="31"/>
        <v>412851852</v>
      </c>
      <c r="AM51" s="262">
        <f t="shared" si="31"/>
        <v>403212382</v>
      </c>
      <c r="AN51" s="262">
        <f t="shared" si="31"/>
        <v>0</v>
      </c>
      <c r="AO51" s="275">
        <f t="shared" si="18"/>
        <v>4743134120</v>
      </c>
    </row>
    <row r="52" spans="1:41" s="213" customFormat="1" ht="22.5" customHeight="1">
      <c r="A52" s="249" t="s">
        <v>62</v>
      </c>
      <c r="B52" s="225" t="s">
        <v>709</v>
      </c>
      <c r="C52" s="251">
        <f>+D52+I52</f>
        <v>4136000000</v>
      </c>
      <c r="D52" s="252">
        <f>SUM(E52:H52)</f>
        <v>530000000</v>
      </c>
      <c r="E52" s="252">
        <v>0</v>
      </c>
      <c r="F52" s="252">
        <v>530000000</v>
      </c>
      <c r="G52" s="252">
        <v>0</v>
      </c>
      <c r="H52" s="252">
        <v>0</v>
      </c>
      <c r="I52" s="252">
        <f>SUM(J52:M52)-N52</f>
        <v>3606000000</v>
      </c>
      <c r="J52" s="252">
        <f>SUM(J53:J54)</f>
        <v>0</v>
      </c>
      <c r="K52" s="252">
        <f>SUM(K53:K54)</f>
        <v>3574000000</v>
      </c>
      <c r="L52" s="252">
        <f>SUM(L53:L54)</f>
        <v>32000000</v>
      </c>
      <c r="M52" s="252">
        <f>SUM(M53:M54)</f>
        <v>0</v>
      </c>
      <c r="N52" s="252">
        <f>SUM(N53:N54)</f>
        <v>0</v>
      </c>
      <c r="O52" s="251">
        <f>SUM(P52:Q52)</f>
        <v>0</v>
      </c>
      <c r="P52" s="251">
        <f>SUM(P53:P54)</f>
        <v>0</v>
      </c>
      <c r="Q52" s="251">
        <f>SUM(Q53:Q54)</f>
        <v>0</v>
      </c>
      <c r="R52" s="251">
        <f>SUM(R53:R54)</f>
        <v>0</v>
      </c>
      <c r="S52" s="251">
        <f>+C52-O52-R52</f>
        <v>4136000000</v>
      </c>
      <c r="T52" s="251">
        <f>SUM(T53:T54)</f>
        <v>174000000</v>
      </c>
      <c r="U52" s="251">
        <f>SUM(U53:U54)</f>
        <v>0</v>
      </c>
      <c r="V52" s="251">
        <f>SUM(V53:V54)</f>
        <v>4136000000</v>
      </c>
      <c r="W52" s="251">
        <f>SUM(W53:W54)</f>
        <v>0</v>
      </c>
      <c r="X52" s="253">
        <f>SUM(X53:X54)</f>
        <v>0</v>
      </c>
      <c r="Y52" s="253">
        <f t="shared" ref="Y52:AN52" si="32">SUM(Y53:Y54)</f>
        <v>233185972</v>
      </c>
      <c r="Z52" s="253">
        <f t="shared" si="32"/>
        <v>130538400</v>
      </c>
      <c r="AA52" s="253">
        <f t="shared" si="32"/>
        <v>1168847637</v>
      </c>
      <c r="AB52" s="284">
        <f t="shared" si="32"/>
        <v>334668500</v>
      </c>
      <c r="AC52" s="284">
        <f t="shared" si="32"/>
        <v>384891900</v>
      </c>
      <c r="AD52" s="284">
        <f t="shared" si="32"/>
        <v>318007900</v>
      </c>
      <c r="AE52" s="284">
        <f t="shared" si="32"/>
        <v>0</v>
      </c>
      <c r="AF52" s="284">
        <f t="shared" si="32"/>
        <v>82766410</v>
      </c>
      <c r="AG52" s="284">
        <f t="shared" si="32"/>
        <v>220678374</v>
      </c>
      <c r="AH52" s="284">
        <f t="shared" si="32"/>
        <v>51717200</v>
      </c>
      <c r="AI52" s="284">
        <f t="shared" si="32"/>
        <v>265596324</v>
      </c>
      <c r="AJ52" s="284">
        <f t="shared" si="32"/>
        <v>402949269</v>
      </c>
      <c r="AK52" s="284">
        <f t="shared" si="32"/>
        <v>333222000</v>
      </c>
      <c r="AL52" s="284">
        <f t="shared" si="32"/>
        <v>412851852</v>
      </c>
      <c r="AM52" s="284">
        <f t="shared" si="32"/>
        <v>403212382</v>
      </c>
      <c r="AN52" s="284">
        <f t="shared" si="32"/>
        <v>0</v>
      </c>
      <c r="AO52" s="275">
        <f>SUM(X52:AN52)</f>
        <v>4743134120</v>
      </c>
    </row>
    <row r="53" spans="1:41" s="213" customFormat="1" ht="22.5" customHeight="1">
      <c r="A53" s="249" t="s">
        <v>115</v>
      </c>
      <c r="B53" s="254" t="s">
        <v>600</v>
      </c>
      <c r="C53" s="251">
        <f>+D53+I53</f>
        <v>3780000000</v>
      </c>
      <c r="D53" s="252">
        <f>SUM(E53:H53)</f>
        <v>490000000</v>
      </c>
      <c r="E53" s="252"/>
      <c r="F53" s="252">
        <v>490000000</v>
      </c>
      <c r="G53" s="252"/>
      <c r="H53" s="252"/>
      <c r="I53" s="252">
        <f>SUM(J53:M53)-N53</f>
        <v>3290000000</v>
      </c>
      <c r="J53" s="255"/>
      <c r="K53" s="255">
        <v>3290000000</v>
      </c>
      <c r="L53" s="255"/>
      <c r="M53" s="255"/>
      <c r="N53" s="256"/>
      <c r="O53" s="251">
        <f>SUM(P53:Q53)</f>
        <v>0</v>
      </c>
      <c r="P53" s="257"/>
      <c r="Q53" s="257"/>
      <c r="R53" s="258"/>
      <c r="S53" s="251">
        <f>+C53-O53-R53</f>
        <v>3780000000</v>
      </c>
      <c r="T53" s="258">
        <v>170000000</v>
      </c>
      <c r="U53" s="258"/>
      <c r="V53" s="259">
        <f>+S53</f>
        <v>3780000000</v>
      </c>
      <c r="W53" s="260"/>
      <c r="X53" s="253"/>
      <c r="Y53" s="253">
        <v>233185972</v>
      </c>
      <c r="Z53" s="253">
        <v>130538400</v>
      </c>
      <c r="AA53" s="253">
        <v>1142847637</v>
      </c>
      <c r="AB53" s="284">
        <v>334668500</v>
      </c>
      <c r="AC53" s="284">
        <v>384891900</v>
      </c>
      <c r="AD53" s="284">
        <v>318007900</v>
      </c>
      <c r="AE53" s="284"/>
      <c r="AF53" s="284">
        <v>82766410</v>
      </c>
      <c r="AG53" s="284">
        <v>220678374</v>
      </c>
      <c r="AH53" s="284">
        <v>51717200</v>
      </c>
      <c r="AI53" s="284">
        <v>265596324</v>
      </c>
      <c r="AJ53" s="284">
        <v>402949269</v>
      </c>
      <c r="AK53" s="284">
        <v>333222000</v>
      </c>
      <c r="AL53" s="284">
        <v>412851852</v>
      </c>
      <c r="AM53" s="299">
        <v>403212382</v>
      </c>
      <c r="AN53" s="299"/>
      <c r="AO53" s="275">
        <f t="shared" si="18"/>
        <v>4717134120</v>
      </c>
    </row>
    <row r="54" spans="1:41" s="213" customFormat="1" ht="22.5" customHeight="1">
      <c r="A54" s="249" t="s">
        <v>115</v>
      </c>
      <c r="B54" s="254" t="s">
        <v>609</v>
      </c>
      <c r="C54" s="251">
        <f>+D54+I54</f>
        <v>356000000</v>
      </c>
      <c r="D54" s="252">
        <f>SUM(E54:H54)</f>
        <v>40000000</v>
      </c>
      <c r="E54" s="252"/>
      <c r="F54" s="252">
        <v>40000000</v>
      </c>
      <c r="G54" s="252"/>
      <c r="H54" s="252"/>
      <c r="I54" s="252">
        <f>SUM(J54:M54)-N54</f>
        <v>316000000</v>
      </c>
      <c r="J54" s="255"/>
      <c r="K54" s="255">
        <v>284000000</v>
      </c>
      <c r="L54" s="255">
        <v>32000000</v>
      </c>
      <c r="M54" s="255"/>
      <c r="N54" s="256"/>
      <c r="O54" s="251">
        <f>SUM(P54:Q54)</f>
        <v>0</v>
      </c>
      <c r="P54" s="257"/>
      <c r="Q54" s="258"/>
      <c r="R54" s="258"/>
      <c r="S54" s="251">
        <f>+C54-O54-R54</f>
        <v>356000000</v>
      </c>
      <c r="T54" s="258">
        <v>4000000</v>
      </c>
      <c r="U54" s="258"/>
      <c r="V54" s="259">
        <f>+S54</f>
        <v>356000000</v>
      </c>
      <c r="W54" s="260"/>
      <c r="X54" s="253"/>
      <c r="Y54" s="253"/>
      <c r="Z54" s="253"/>
      <c r="AA54" s="253">
        <v>26000000</v>
      </c>
      <c r="AB54" s="284"/>
      <c r="AC54" s="284"/>
      <c r="AD54" s="284"/>
      <c r="AE54" s="284"/>
      <c r="AF54" s="284"/>
      <c r="AG54" s="284"/>
      <c r="AH54" s="334"/>
      <c r="AI54" s="334"/>
      <c r="AJ54" s="334"/>
      <c r="AK54" s="334"/>
      <c r="AL54" s="334"/>
      <c r="AM54" s="335"/>
      <c r="AN54" s="335"/>
      <c r="AO54" s="275">
        <f t="shared" si="18"/>
        <v>26000000</v>
      </c>
    </row>
    <row r="55" spans="1:41" s="213" customFormat="1" ht="22.5" customHeight="1">
      <c r="A55" s="249" t="s">
        <v>62</v>
      </c>
      <c r="B55" s="250" t="s">
        <v>608</v>
      </c>
      <c r="C55" s="251">
        <f t="shared" ref="C55:J55" si="33">SUM(C56:C57)</f>
        <v>0</v>
      </c>
      <c r="D55" s="252">
        <f t="shared" si="33"/>
        <v>0</v>
      </c>
      <c r="E55" s="252">
        <f t="shared" si="33"/>
        <v>0</v>
      </c>
      <c r="F55" s="252">
        <f t="shared" si="33"/>
        <v>0</v>
      </c>
      <c r="G55" s="252">
        <f t="shared" si="33"/>
        <v>0</v>
      </c>
      <c r="H55" s="252">
        <f t="shared" si="33"/>
        <v>0</v>
      </c>
      <c r="I55" s="252">
        <f t="shared" si="33"/>
        <v>0</v>
      </c>
      <c r="J55" s="252">
        <f t="shared" si="33"/>
        <v>0</v>
      </c>
      <c r="K55" s="252">
        <f>SUM(K56:K57)</f>
        <v>0</v>
      </c>
      <c r="L55" s="252">
        <f t="shared" ref="L55:W55" si="34">SUM(L56:L57)</f>
        <v>0</v>
      </c>
      <c r="M55" s="252">
        <f t="shared" si="34"/>
        <v>0</v>
      </c>
      <c r="N55" s="252">
        <f t="shared" si="34"/>
        <v>0</v>
      </c>
      <c r="O55" s="251">
        <f t="shared" si="34"/>
        <v>0</v>
      </c>
      <c r="P55" s="251">
        <f t="shared" si="34"/>
        <v>0</v>
      </c>
      <c r="Q55" s="251">
        <f t="shared" si="34"/>
        <v>0</v>
      </c>
      <c r="R55" s="251">
        <f t="shared" si="34"/>
        <v>0</v>
      </c>
      <c r="S55" s="251">
        <f t="shared" si="34"/>
        <v>0</v>
      </c>
      <c r="T55" s="251">
        <f t="shared" si="34"/>
        <v>0</v>
      </c>
      <c r="U55" s="251">
        <f t="shared" si="34"/>
        <v>0</v>
      </c>
      <c r="V55" s="251">
        <f t="shared" si="34"/>
        <v>0</v>
      </c>
      <c r="W55" s="251">
        <f t="shared" si="34"/>
        <v>0</v>
      </c>
      <c r="X55" s="253">
        <f>SUM(X56:X57)</f>
        <v>0</v>
      </c>
      <c r="Y55" s="253">
        <f t="shared" ref="Y55:AN55" si="35">SUM(Y56:Y57)</f>
        <v>23249100</v>
      </c>
      <c r="Z55" s="253">
        <f t="shared" si="35"/>
        <v>89978600</v>
      </c>
      <c r="AA55" s="253">
        <f t="shared" si="35"/>
        <v>36052363</v>
      </c>
      <c r="AB55" s="284">
        <f t="shared" si="35"/>
        <v>300000000</v>
      </c>
      <c r="AC55" s="284">
        <f t="shared" si="35"/>
        <v>20008100</v>
      </c>
      <c r="AD55" s="284">
        <f t="shared" si="35"/>
        <v>215238100</v>
      </c>
      <c r="AE55" s="284">
        <f t="shared" si="35"/>
        <v>30312000</v>
      </c>
      <c r="AF55" s="284">
        <f t="shared" si="35"/>
        <v>332400000</v>
      </c>
      <c r="AG55" s="284">
        <f t="shared" si="35"/>
        <v>20986970</v>
      </c>
      <c r="AH55" s="284">
        <f t="shared" si="35"/>
        <v>12682800</v>
      </c>
      <c r="AI55" s="284">
        <f t="shared" si="35"/>
        <v>468885000</v>
      </c>
      <c r="AJ55" s="284">
        <f t="shared" si="35"/>
        <v>112720100</v>
      </c>
      <c r="AK55" s="284">
        <f t="shared" si="35"/>
        <v>86698000</v>
      </c>
      <c r="AL55" s="284">
        <f t="shared" si="35"/>
        <v>6228148</v>
      </c>
      <c r="AM55" s="299">
        <f t="shared" si="35"/>
        <v>7584350</v>
      </c>
      <c r="AN55" s="299">
        <f t="shared" si="35"/>
        <v>0</v>
      </c>
      <c r="AO55" s="275">
        <f t="shared" si="18"/>
        <v>1763023631</v>
      </c>
    </row>
    <row r="56" spans="1:41" ht="22.5" customHeight="1">
      <c r="AO56" s="275">
        <f t="shared" si="18"/>
        <v>0</v>
      </c>
    </row>
    <row r="57" spans="1:41" s="266" customFormat="1" ht="22.5" customHeight="1">
      <c r="A57" s="264"/>
      <c r="B57" s="264" t="s">
        <v>411</v>
      </c>
      <c r="C57" s="264"/>
      <c r="D57" s="264"/>
      <c r="E57" s="264"/>
      <c r="F57" s="264"/>
      <c r="G57" s="264"/>
      <c r="H57" s="264"/>
      <c r="I57" s="264"/>
      <c r="J57" s="264"/>
      <c r="K57" s="264"/>
      <c r="L57" s="264"/>
      <c r="M57" s="264"/>
      <c r="N57" s="264"/>
      <c r="O57" s="264"/>
      <c r="P57" s="264"/>
      <c r="Q57" s="264"/>
      <c r="R57" s="264"/>
      <c r="S57" s="264"/>
      <c r="T57" s="264"/>
      <c r="U57" s="264"/>
      <c r="V57" s="264"/>
      <c r="W57" s="264"/>
      <c r="X57" s="265"/>
      <c r="Y57" s="265">
        <f t="shared" ref="Y57:AA58" si="36">+Y49-Y53</f>
        <v>23249100</v>
      </c>
      <c r="Z57" s="265">
        <f t="shared" si="36"/>
        <v>89978600</v>
      </c>
      <c r="AA57" s="265">
        <f t="shared" si="36"/>
        <v>36052363</v>
      </c>
      <c r="AB57" s="265">
        <v>300000000</v>
      </c>
      <c r="AC57" s="265">
        <f>+AC49-AC53</f>
        <v>20008100</v>
      </c>
      <c r="AD57" s="265">
        <f>+AD49-AD53</f>
        <v>215238100</v>
      </c>
      <c r="AE57" s="265">
        <f>+AE49-AE53</f>
        <v>30312000</v>
      </c>
      <c r="AF57" s="265">
        <v>332400000</v>
      </c>
      <c r="AG57" s="265">
        <f t="shared" ref="AG57:AN57" si="37">+AG49-AG53</f>
        <v>20986970</v>
      </c>
      <c r="AH57" s="265">
        <f t="shared" si="37"/>
        <v>12682800</v>
      </c>
      <c r="AI57" s="265">
        <f t="shared" si="37"/>
        <v>468885000</v>
      </c>
      <c r="AJ57" s="265">
        <f t="shared" si="37"/>
        <v>112720100</v>
      </c>
      <c r="AK57" s="265">
        <f t="shared" si="37"/>
        <v>86698000</v>
      </c>
      <c r="AL57" s="265">
        <f t="shared" si="37"/>
        <v>6228148</v>
      </c>
      <c r="AM57" s="265">
        <f t="shared" si="37"/>
        <v>7584350</v>
      </c>
      <c r="AN57" s="265">
        <f t="shared" si="37"/>
        <v>0</v>
      </c>
      <c r="AO57" s="275">
        <f t="shared" si="18"/>
        <v>1763023631</v>
      </c>
    </row>
    <row r="58" spans="1:41" s="266" customFormat="1" ht="22.5" customHeight="1">
      <c r="A58" s="264"/>
      <c r="B58" s="264"/>
      <c r="C58" s="264"/>
      <c r="D58" s="264"/>
      <c r="E58" s="264"/>
      <c r="F58" s="264"/>
      <c r="G58" s="264"/>
      <c r="H58" s="264"/>
      <c r="I58" s="264"/>
      <c r="J58" s="264"/>
      <c r="K58" s="264"/>
      <c r="L58" s="264"/>
      <c r="M58" s="264"/>
      <c r="N58" s="264"/>
      <c r="O58" s="264"/>
      <c r="P58" s="264"/>
      <c r="Q58" s="264"/>
      <c r="R58" s="264"/>
      <c r="S58" s="264"/>
      <c r="T58" s="264"/>
      <c r="U58" s="264"/>
      <c r="V58" s="264"/>
      <c r="W58" s="264"/>
      <c r="X58" s="265"/>
      <c r="Y58" s="265">
        <f t="shared" si="36"/>
        <v>0</v>
      </c>
      <c r="Z58" s="265">
        <f t="shared" si="36"/>
        <v>0</v>
      </c>
      <c r="AA58" s="265">
        <f t="shared" si="36"/>
        <v>28000000</v>
      </c>
      <c r="AB58" s="265">
        <f>+AB49-AB53-AB57</f>
        <v>6913500</v>
      </c>
      <c r="AC58" s="265">
        <f t="shared" ref="AC58:AN58" si="38">+AC49-AC53-AC57</f>
        <v>0</v>
      </c>
      <c r="AD58" s="265">
        <f t="shared" si="38"/>
        <v>0</v>
      </c>
      <c r="AE58" s="265">
        <f t="shared" si="38"/>
        <v>0</v>
      </c>
      <c r="AF58" s="265">
        <f t="shared" si="38"/>
        <v>233590</v>
      </c>
      <c r="AG58" s="265">
        <f t="shared" si="38"/>
        <v>0</v>
      </c>
      <c r="AH58" s="265">
        <f t="shared" si="38"/>
        <v>0</v>
      </c>
      <c r="AI58" s="265">
        <f t="shared" si="38"/>
        <v>0</v>
      </c>
      <c r="AJ58" s="265">
        <f t="shared" si="38"/>
        <v>0</v>
      </c>
      <c r="AK58" s="265">
        <f t="shared" si="38"/>
        <v>0</v>
      </c>
      <c r="AL58" s="265">
        <f t="shared" si="38"/>
        <v>0</v>
      </c>
      <c r="AM58" s="265">
        <f t="shared" si="38"/>
        <v>0</v>
      </c>
      <c r="AN58" s="265">
        <f t="shared" si="38"/>
        <v>0</v>
      </c>
      <c r="AO58" s="275">
        <f t="shared" si="18"/>
        <v>35147090</v>
      </c>
    </row>
    <row r="59" spans="1:41" s="270" customFormat="1" ht="22.5" customHeight="1">
      <c r="A59" s="267"/>
      <c r="B59" s="267" t="s">
        <v>209</v>
      </c>
      <c r="C59" s="267"/>
      <c r="D59" s="267"/>
      <c r="E59" s="267"/>
      <c r="F59" s="267"/>
      <c r="G59" s="267"/>
      <c r="H59" s="267"/>
      <c r="I59" s="267"/>
      <c r="J59" s="267"/>
      <c r="K59" s="267"/>
      <c r="L59" s="267"/>
      <c r="M59" s="267"/>
      <c r="N59" s="267"/>
      <c r="O59" s="267"/>
      <c r="P59" s="267"/>
      <c r="Q59" s="267"/>
      <c r="R59" s="267"/>
      <c r="S59" s="267"/>
      <c r="T59" s="267"/>
      <c r="U59" s="267"/>
      <c r="V59" s="267"/>
      <c r="W59" s="267"/>
      <c r="X59" s="268"/>
      <c r="Y59" s="268"/>
      <c r="Z59" s="268"/>
      <c r="AA59" s="269"/>
      <c r="AB59" s="336">
        <f>+AB50-AB54</f>
        <v>16400000</v>
      </c>
      <c r="AC59" s="336"/>
      <c r="AD59" s="336"/>
      <c r="AE59" s="336"/>
      <c r="AF59" s="336"/>
      <c r="AG59" s="336"/>
      <c r="AH59" s="337"/>
      <c r="AI59" s="337"/>
      <c r="AJ59" s="337"/>
      <c r="AK59" s="337"/>
      <c r="AL59" s="337"/>
      <c r="AM59" s="337"/>
      <c r="AN59" s="337"/>
      <c r="AO59" s="275">
        <f t="shared" si="18"/>
        <v>16400000</v>
      </c>
    </row>
    <row r="60" spans="1:41" s="270" customFormat="1" ht="22.5" customHeight="1">
      <c r="A60" s="267"/>
      <c r="B60" s="267"/>
      <c r="C60" s="267"/>
      <c r="D60" s="267"/>
      <c r="E60" s="267"/>
      <c r="F60" s="267"/>
      <c r="G60" s="267"/>
      <c r="H60" s="267"/>
      <c r="I60" s="267"/>
      <c r="J60" s="267"/>
      <c r="K60" s="267"/>
      <c r="L60" s="267"/>
      <c r="M60" s="267"/>
      <c r="N60" s="267"/>
      <c r="O60" s="267"/>
      <c r="P60" s="267"/>
      <c r="Q60" s="267"/>
      <c r="R60" s="267"/>
      <c r="S60" s="267"/>
      <c r="T60" s="267"/>
      <c r="U60" s="267"/>
      <c r="V60" s="267"/>
      <c r="W60" s="267"/>
      <c r="X60" s="268"/>
      <c r="Y60" s="268"/>
      <c r="Z60" s="268"/>
      <c r="AA60" s="269"/>
      <c r="AB60" s="336"/>
      <c r="AC60" s="336"/>
      <c r="AD60" s="336"/>
      <c r="AE60" s="336"/>
      <c r="AF60" s="336"/>
      <c r="AG60" s="336"/>
      <c r="AH60" s="337"/>
      <c r="AI60" s="337"/>
      <c r="AJ60" s="337"/>
      <c r="AK60" s="337"/>
      <c r="AL60" s="337"/>
      <c r="AM60" s="337"/>
      <c r="AN60" s="337"/>
      <c r="AO60" s="275">
        <f t="shared" si="18"/>
        <v>0</v>
      </c>
    </row>
    <row r="61" spans="1:41" s="270" customFormat="1" ht="22.5" customHeight="1">
      <c r="A61" s="267"/>
      <c r="B61" s="267"/>
      <c r="C61" s="267"/>
      <c r="D61" s="267"/>
      <c r="E61" s="267"/>
      <c r="F61" s="267"/>
      <c r="G61" s="267"/>
      <c r="H61" s="267"/>
      <c r="I61" s="267"/>
      <c r="J61" s="267"/>
      <c r="K61" s="267"/>
      <c r="L61" s="267"/>
      <c r="M61" s="267"/>
      <c r="N61" s="267"/>
      <c r="O61" s="267"/>
      <c r="P61" s="267"/>
      <c r="Q61" s="267"/>
      <c r="R61" s="267"/>
      <c r="S61" s="267"/>
      <c r="T61" s="267"/>
      <c r="U61" s="267"/>
      <c r="V61" s="267"/>
      <c r="W61" s="267"/>
      <c r="X61" s="268"/>
      <c r="Y61" s="268"/>
      <c r="Z61" s="268"/>
      <c r="AA61" s="269"/>
      <c r="AB61" s="336"/>
      <c r="AC61" s="336"/>
      <c r="AD61" s="336"/>
      <c r="AE61" s="336"/>
      <c r="AF61" s="336"/>
      <c r="AG61" s="336"/>
      <c r="AH61" s="337"/>
      <c r="AI61" s="337"/>
      <c r="AJ61" s="337"/>
      <c r="AK61" s="337"/>
      <c r="AL61" s="337"/>
      <c r="AM61" s="337"/>
      <c r="AN61" s="337"/>
    </row>
    <row r="62" spans="1:41" s="270" customFormat="1" ht="22.5" customHeight="1">
      <c r="A62" s="267"/>
      <c r="B62" s="267"/>
      <c r="C62" s="267"/>
      <c r="D62" s="267"/>
      <c r="E62" s="267"/>
      <c r="F62" s="267"/>
      <c r="G62" s="267"/>
      <c r="H62" s="267"/>
      <c r="I62" s="267"/>
      <c r="J62" s="267"/>
      <c r="K62" s="267"/>
      <c r="L62" s="267"/>
      <c r="M62" s="267"/>
      <c r="N62" s="267"/>
      <c r="O62" s="267"/>
      <c r="P62" s="267"/>
      <c r="Q62" s="267"/>
      <c r="R62" s="267"/>
      <c r="S62" s="267"/>
      <c r="T62" s="267"/>
      <c r="U62" s="267"/>
      <c r="V62" s="267"/>
      <c r="W62" s="267"/>
      <c r="X62" s="268"/>
      <c r="Y62" s="268"/>
      <c r="Z62" s="268"/>
      <c r="AA62" s="269"/>
      <c r="AB62" s="336"/>
      <c r="AC62" s="336"/>
      <c r="AD62" s="336"/>
      <c r="AE62" s="336"/>
      <c r="AF62" s="336"/>
      <c r="AG62" s="336"/>
      <c r="AH62" s="337"/>
      <c r="AI62" s="337"/>
      <c r="AJ62" s="337"/>
      <c r="AK62" s="337"/>
      <c r="AL62" s="337"/>
      <c r="AM62" s="337"/>
      <c r="AN62" s="337"/>
    </row>
    <row r="63" spans="1:41" ht="22.5" customHeight="1"/>
    <row r="64" spans="1:41" ht="22.5" customHeight="1"/>
    <row r="65" customFormat="1" ht="22.5" customHeight="1"/>
    <row r="66" customFormat="1" ht="22.5" customHeight="1"/>
    <row r="67" customFormat="1" ht="22.5" customHeight="1"/>
    <row r="68" customFormat="1" ht="22.5" customHeight="1"/>
    <row r="69" customFormat="1" ht="22.5" customHeight="1"/>
    <row r="70" customFormat="1" ht="22.5" customHeight="1"/>
    <row r="71" customFormat="1" ht="22.5" customHeight="1"/>
    <row r="72" customFormat="1" ht="22.5" customHeight="1"/>
    <row r="73" customFormat="1" ht="22.5" customHeight="1"/>
    <row r="74" customFormat="1" ht="22.5" customHeight="1"/>
    <row r="75" customFormat="1" ht="22.5" customHeight="1"/>
    <row r="76" customFormat="1" ht="22.5" customHeight="1"/>
    <row r="77" customFormat="1" ht="22.5" customHeight="1"/>
    <row r="88" customFormat="1"/>
    <row r="89" customFormat="1"/>
    <row r="90" customFormat="1" ht="33" customHeight="1"/>
    <row r="91" customFormat="1" ht="22.5" customHeight="1"/>
    <row r="92" customFormat="1" ht="22.5" customHeight="1"/>
    <row r="93" customFormat="1" ht="36.75" customHeight="1"/>
    <row r="94" customFormat="1" ht="22.5" customHeight="1"/>
    <row r="95" customFormat="1" ht="22.5" customHeight="1"/>
    <row r="96" customFormat="1" ht="40.5" customHeight="1"/>
    <row r="97" customFormat="1" ht="22.5" customHeight="1"/>
    <row r="98" customFormat="1" ht="22.5" customHeight="1"/>
    <row r="99" customFormat="1" ht="22.5" customHeight="1"/>
    <row r="100" customFormat="1" ht="22.5" customHeight="1"/>
    <row r="101" customFormat="1" ht="22.5" customHeight="1"/>
    <row r="102" customFormat="1"/>
    <row r="103" customFormat="1" ht="33" customHeight="1"/>
    <row r="104" customFormat="1" ht="22.5" customHeight="1"/>
    <row r="105" customFormat="1" ht="22.5" customHeight="1"/>
    <row r="106" customFormat="1" ht="37.5" customHeight="1"/>
    <row r="108" customFormat="1" ht="12" customHeight="1"/>
    <row r="109" customFormat="1"/>
    <row r="110" customFormat="1"/>
    <row r="111" customFormat="1"/>
    <row r="112" customFormat="1"/>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U35"/>
  <sheetViews>
    <sheetView workbookViewId="0">
      <selection activeCell="C9" sqref="C9"/>
    </sheetView>
  </sheetViews>
  <sheetFormatPr defaultColWidth="9.28515625" defaultRowHeight="15"/>
  <cols>
    <col min="1" max="1" width="4.7109375" style="28" customWidth="1"/>
    <col min="2" max="2" width="19.7109375" style="28" customWidth="1"/>
    <col min="3" max="3" width="13.7109375" style="30" customWidth="1"/>
    <col min="4" max="4" width="12.5703125" style="28" customWidth="1"/>
    <col min="5" max="5" width="12.28515625" style="28" customWidth="1"/>
    <col min="6" max="6" width="8.42578125" style="28" customWidth="1"/>
    <col min="7" max="7" width="11.7109375" style="28" customWidth="1"/>
    <col min="8" max="9" width="10.7109375" style="28" customWidth="1"/>
    <col min="10" max="10" width="11.5703125" style="28" customWidth="1"/>
    <col min="11" max="11" width="8" style="28" customWidth="1"/>
    <col min="12" max="12" width="8.28515625" style="28" customWidth="1"/>
    <col min="13" max="13" width="7.7109375" style="28" customWidth="1"/>
    <col min="14" max="15" width="12.28515625" style="28" customWidth="1"/>
    <col min="16" max="16" width="11.42578125" style="31" customWidth="1"/>
    <col min="17" max="17" width="11.7109375" style="31" customWidth="1"/>
    <col min="18" max="18" width="10" style="28" customWidth="1"/>
    <col min="19" max="19" width="9.28515625" style="28" customWidth="1"/>
    <col min="20" max="20" width="7.5703125" style="28" customWidth="1"/>
    <col min="21" max="21" width="14.5703125" style="28" bestFit="1" customWidth="1"/>
    <col min="22" max="16384" width="9.28515625" style="28"/>
  </cols>
  <sheetData>
    <row r="1" spans="1:21" ht="24.75" customHeight="1">
      <c r="A1" s="27" t="str">
        <f>'50'!A1</f>
        <v>UBND xã Trần Phú</v>
      </c>
      <c r="B1" s="85"/>
      <c r="R1" s="1663" t="s">
        <v>521</v>
      </c>
      <c r="S1" s="1663"/>
      <c r="T1" s="93"/>
    </row>
    <row r="2" spans="1:21" ht="23.25" customHeight="1">
      <c r="A2" s="1711" t="s">
        <v>642</v>
      </c>
      <c r="B2" s="1711"/>
      <c r="C2" s="1711"/>
      <c r="D2" s="1711"/>
      <c r="E2" s="1711"/>
      <c r="F2" s="1711"/>
      <c r="G2" s="1711"/>
      <c r="H2" s="1711"/>
      <c r="I2" s="1711"/>
      <c r="J2" s="1711"/>
      <c r="K2" s="1711"/>
      <c r="L2" s="1711"/>
      <c r="M2" s="1711"/>
      <c r="N2" s="1711"/>
      <c r="O2" s="1711"/>
      <c r="P2" s="1711"/>
      <c r="Q2" s="1711"/>
      <c r="R2" s="1711"/>
      <c r="S2" s="1711"/>
      <c r="T2" s="1711"/>
    </row>
    <row r="3" spans="1:21" ht="15.75">
      <c r="T3" s="87" t="s">
        <v>312</v>
      </c>
    </row>
    <row r="4" spans="1:21" ht="27" customHeight="1">
      <c r="A4" s="1830" t="s">
        <v>313</v>
      </c>
      <c r="B4" s="1830" t="s">
        <v>253</v>
      </c>
      <c r="C4" s="1845" t="s">
        <v>315</v>
      </c>
      <c r="D4" s="1830" t="s">
        <v>146</v>
      </c>
      <c r="E4" s="1830" t="s">
        <v>239</v>
      </c>
      <c r="F4" s="1830" t="s">
        <v>294</v>
      </c>
      <c r="G4" s="1830" t="s">
        <v>295</v>
      </c>
      <c r="H4" s="1830" t="s">
        <v>365</v>
      </c>
      <c r="I4" s="1830" t="s">
        <v>371</v>
      </c>
      <c r="J4" s="1830" t="s">
        <v>372</v>
      </c>
      <c r="K4" s="1830" t="s">
        <v>334</v>
      </c>
      <c r="L4" s="1830" t="s">
        <v>366</v>
      </c>
      <c r="M4" s="1830" t="s">
        <v>373</v>
      </c>
      <c r="N4" s="1830" t="s">
        <v>367</v>
      </c>
      <c r="O4" s="1830" t="s">
        <v>248</v>
      </c>
      <c r="P4" s="1830"/>
      <c r="Q4" s="1831" t="s">
        <v>335</v>
      </c>
      <c r="R4" s="1830" t="s">
        <v>76</v>
      </c>
      <c r="S4" s="1830" t="s">
        <v>336</v>
      </c>
      <c r="T4" s="1830" t="s">
        <v>167</v>
      </c>
    </row>
    <row r="5" spans="1:21" s="84" customFormat="1" ht="74.25" customHeight="1">
      <c r="A5" s="1830"/>
      <c r="B5" s="1830"/>
      <c r="C5" s="1845"/>
      <c r="D5" s="1830"/>
      <c r="E5" s="1830"/>
      <c r="F5" s="1830"/>
      <c r="G5" s="1830"/>
      <c r="H5" s="1830"/>
      <c r="I5" s="1830"/>
      <c r="J5" s="1830"/>
      <c r="K5" s="1830"/>
      <c r="L5" s="1830"/>
      <c r="M5" s="1830"/>
      <c r="N5" s="1830"/>
      <c r="O5" s="363" t="s">
        <v>80</v>
      </c>
      <c r="P5" s="363" t="s">
        <v>130</v>
      </c>
      <c r="Q5" s="1831"/>
      <c r="R5" s="1830"/>
      <c r="S5" s="1830"/>
      <c r="T5" s="1830"/>
    </row>
    <row r="6" spans="1:21" ht="22.5" customHeight="1">
      <c r="A6" s="364" t="s">
        <v>316</v>
      </c>
      <c r="B6" s="364" t="s">
        <v>317</v>
      </c>
      <c r="C6" s="94">
        <v>1</v>
      </c>
      <c r="D6" s="364">
        <v>2</v>
      </c>
      <c r="E6" s="364">
        <v>3</v>
      </c>
      <c r="F6" s="364">
        <v>4</v>
      </c>
      <c r="G6" s="364">
        <v>5</v>
      </c>
      <c r="H6" s="364">
        <v>6</v>
      </c>
      <c r="I6" s="364">
        <v>7</v>
      </c>
      <c r="J6" s="364">
        <v>8</v>
      </c>
      <c r="K6" s="364">
        <v>9</v>
      </c>
      <c r="L6" s="364">
        <v>10</v>
      </c>
      <c r="M6" s="364">
        <v>11</v>
      </c>
      <c r="N6" s="364">
        <v>12</v>
      </c>
      <c r="O6" s="364">
        <v>13</v>
      </c>
      <c r="P6" s="365">
        <v>14</v>
      </c>
      <c r="Q6" s="365">
        <v>15</v>
      </c>
      <c r="R6" s="364">
        <v>16</v>
      </c>
      <c r="S6" s="364">
        <v>17</v>
      </c>
      <c r="T6" s="364" t="s">
        <v>131</v>
      </c>
    </row>
    <row r="7" spans="1:21" ht="30" customHeight="1">
      <c r="A7" s="364"/>
      <c r="B7" s="95" t="s">
        <v>472</v>
      </c>
      <c r="C7" s="96" t="e">
        <f>+C8+C19+C21</f>
        <v>#REF!</v>
      </c>
      <c r="D7" s="96" t="e">
        <f>+D8</f>
        <v>#REF!</v>
      </c>
      <c r="E7" s="96">
        <f t="shared" ref="E7:S7" si="0">+E8</f>
        <v>17330.571179999999</v>
      </c>
      <c r="F7" s="96">
        <f t="shared" si="0"/>
        <v>0</v>
      </c>
      <c r="G7" s="96">
        <f t="shared" si="0"/>
        <v>469.17329999999998</v>
      </c>
      <c r="H7" s="96">
        <f t="shared" si="0"/>
        <v>370.10480000000001</v>
      </c>
      <c r="I7" s="96">
        <f t="shared" si="0"/>
        <v>616.14179999999999</v>
      </c>
      <c r="J7" s="96">
        <f t="shared" si="0"/>
        <v>2785.8462</v>
      </c>
      <c r="K7" s="96">
        <f t="shared" si="0"/>
        <v>0</v>
      </c>
      <c r="L7" s="96">
        <f t="shared" si="0"/>
        <v>0</v>
      </c>
      <c r="M7" s="96">
        <f t="shared" si="0"/>
        <v>0</v>
      </c>
      <c r="N7" s="96">
        <f t="shared" si="0"/>
        <v>31675.597267000001</v>
      </c>
      <c r="O7" s="96">
        <f t="shared" si="0"/>
        <v>13758.458997</v>
      </c>
      <c r="P7" s="96">
        <f t="shared" si="0"/>
        <v>6092.0176999999994</v>
      </c>
      <c r="Q7" s="96">
        <f t="shared" si="0"/>
        <v>2765.2495530000001</v>
      </c>
      <c r="R7" s="96">
        <f t="shared" si="0"/>
        <v>390.4873</v>
      </c>
      <c r="S7" s="96">
        <f t="shared" si="0"/>
        <v>0</v>
      </c>
      <c r="T7" s="92" t="e">
        <f>D7/C7*100</f>
        <v>#REF!</v>
      </c>
      <c r="U7" s="187" t="e">
        <f>+C7-D7</f>
        <v>#REF!</v>
      </c>
    </row>
    <row r="8" spans="1:21" s="338" customFormat="1" ht="36.75" customHeight="1">
      <c r="A8" s="356">
        <v>1</v>
      </c>
      <c r="B8" s="357" t="s">
        <v>259</v>
      </c>
      <c r="C8" s="358" t="e">
        <f t="shared" ref="C8:S8" si="1">SUM(C9:C18)</f>
        <v>#REF!</v>
      </c>
      <c r="D8" s="358" t="e">
        <f t="shared" si="1"/>
        <v>#REF!</v>
      </c>
      <c r="E8" s="358">
        <f t="shared" si="1"/>
        <v>17330.571179999999</v>
      </c>
      <c r="F8" s="358">
        <f t="shared" si="1"/>
        <v>0</v>
      </c>
      <c r="G8" s="358">
        <f t="shared" si="1"/>
        <v>469.17329999999998</v>
      </c>
      <c r="H8" s="358">
        <f t="shared" si="1"/>
        <v>370.10480000000001</v>
      </c>
      <c r="I8" s="358">
        <f t="shared" si="1"/>
        <v>616.14179999999999</v>
      </c>
      <c r="J8" s="358">
        <f t="shared" si="1"/>
        <v>2785.8462</v>
      </c>
      <c r="K8" s="358">
        <f t="shared" si="1"/>
        <v>0</v>
      </c>
      <c r="L8" s="358">
        <f t="shared" si="1"/>
        <v>0</v>
      </c>
      <c r="M8" s="358">
        <f t="shared" si="1"/>
        <v>0</v>
      </c>
      <c r="N8" s="358">
        <f t="shared" si="1"/>
        <v>31675.597267000001</v>
      </c>
      <c r="O8" s="358">
        <f t="shared" si="1"/>
        <v>13758.458997</v>
      </c>
      <c r="P8" s="358">
        <f t="shared" si="1"/>
        <v>6092.0176999999994</v>
      </c>
      <c r="Q8" s="358">
        <f t="shared" si="1"/>
        <v>2765.2495530000001</v>
      </c>
      <c r="R8" s="358">
        <f t="shared" si="1"/>
        <v>390.4873</v>
      </c>
      <c r="S8" s="358">
        <f t="shared" si="1"/>
        <v>0</v>
      </c>
      <c r="T8" s="355" t="e">
        <f t="shared" ref="T8:T21" si="2">+D8/C8*100</f>
        <v>#REF!</v>
      </c>
    </row>
    <row r="9" spans="1:21" s="205" customFormat="1" ht="48" customHeight="1">
      <c r="A9" s="339" t="s">
        <v>261</v>
      </c>
      <c r="B9" s="346" t="s">
        <v>635</v>
      </c>
      <c r="C9" s="98">
        <f>SUM(C10:C11)</f>
        <v>8525.8064400000003</v>
      </c>
      <c r="D9" s="98">
        <f t="shared" ref="D9:R9" si="3">SUM(D10:D11)</f>
        <v>8418.7191000000003</v>
      </c>
      <c r="E9" s="98">
        <f t="shared" si="3"/>
        <v>3318.0663</v>
      </c>
      <c r="F9" s="98">
        <f t="shared" si="3"/>
        <v>0</v>
      </c>
      <c r="G9" s="98">
        <f t="shared" si="3"/>
        <v>0</v>
      </c>
      <c r="H9" s="98">
        <f t="shared" si="3"/>
        <v>0</v>
      </c>
      <c r="I9" s="98">
        <f t="shared" si="3"/>
        <v>308.07089999999999</v>
      </c>
      <c r="J9" s="98">
        <f t="shared" si="3"/>
        <v>334.4502</v>
      </c>
      <c r="K9" s="98">
        <f t="shared" si="3"/>
        <v>0</v>
      </c>
      <c r="L9" s="98">
        <f t="shared" si="3"/>
        <v>0</v>
      </c>
      <c r="M9" s="98">
        <f t="shared" si="3"/>
        <v>0</v>
      </c>
      <c r="N9" s="98">
        <f t="shared" si="3"/>
        <v>4458.1316999999999</v>
      </c>
      <c r="O9" s="98">
        <f t="shared" si="3"/>
        <v>1567.2674999999999</v>
      </c>
      <c r="P9" s="98">
        <f t="shared" si="3"/>
        <v>2890.8642</v>
      </c>
      <c r="Q9" s="98">
        <f t="shared" si="3"/>
        <v>0</v>
      </c>
      <c r="R9" s="98">
        <f t="shared" si="3"/>
        <v>0</v>
      </c>
      <c r="S9" s="345"/>
      <c r="T9" s="196">
        <f t="shared" si="2"/>
        <v>98.743962336541145</v>
      </c>
      <c r="U9" s="347"/>
    </row>
    <row r="10" spans="1:21" s="205" customFormat="1" ht="48" customHeight="1">
      <c r="A10" s="339"/>
      <c r="B10" s="346" t="s">
        <v>726</v>
      </c>
      <c r="C10" s="98">
        <f>12.89+403.2561</f>
        <v>416.14609999999999</v>
      </c>
      <c r="D10" s="344">
        <f>SUM(E10:N10)+SUM(Q10:R10)</f>
        <v>412.98230000000001</v>
      </c>
      <c r="E10" s="344">
        <v>115.55</v>
      </c>
      <c r="F10" s="344"/>
      <c r="G10" s="344"/>
      <c r="H10" s="344"/>
      <c r="I10" s="344">
        <v>15</v>
      </c>
      <c r="J10" s="344">
        <v>29.299199999999999</v>
      </c>
      <c r="K10" s="344"/>
      <c r="L10" s="344"/>
      <c r="M10" s="344"/>
      <c r="N10" s="344">
        <v>253.13310000000001</v>
      </c>
      <c r="O10" s="344">
        <v>92.145899999999997</v>
      </c>
      <c r="P10" s="344">
        <v>160.9872</v>
      </c>
      <c r="Q10" s="344"/>
      <c r="R10" s="344"/>
      <c r="S10" s="345"/>
      <c r="T10" s="196"/>
      <c r="U10" s="347"/>
    </row>
    <row r="11" spans="1:21" s="205" customFormat="1" ht="48" customHeight="1">
      <c r="A11" s="339"/>
      <c r="B11" s="346"/>
      <c r="C11" s="98">
        <f>475.2+7634.46034</f>
        <v>8109.6603399999995</v>
      </c>
      <c r="D11" s="344">
        <f>SUM(E11:N11)+SUM(Q11:R11)</f>
        <v>8005.7367999999997</v>
      </c>
      <c r="E11" s="344">
        <v>3202.5162999999998</v>
      </c>
      <c r="F11" s="344"/>
      <c r="G11" s="344"/>
      <c r="H11" s="344"/>
      <c r="I11" s="344">
        <v>293.07089999999999</v>
      </c>
      <c r="J11" s="344">
        <v>305.15100000000001</v>
      </c>
      <c r="K11" s="344"/>
      <c r="L11" s="344"/>
      <c r="M11" s="344"/>
      <c r="N11" s="344">
        <v>4204.9985999999999</v>
      </c>
      <c r="O11" s="344">
        <v>1475.1215999999999</v>
      </c>
      <c r="P11" s="344">
        <v>2729.877</v>
      </c>
      <c r="Q11" s="344"/>
      <c r="R11" s="344"/>
      <c r="S11" s="345"/>
      <c r="T11" s="196"/>
      <c r="U11" s="347"/>
    </row>
    <row r="12" spans="1:21" s="205" customFormat="1" ht="48" customHeight="1">
      <c r="A12" s="339"/>
      <c r="B12" s="346" t="s">
        <v>727</v>
      </c>
      <c r="C12" s="98">
        <v>900</v>
      </c>
      <c r="D12" s="344">
        <f>SUM(E12:N12)+SUM(Q12:R12)</f>
        <v>879.01319999999998</v>
      </c>
      <c r="E12" s="344"/>
      <c r="F12" s="344"/>
      <c r="G12" s="344"/>
      <c r="H12" s="344"/>
      <c r="I12" s="344"/>
      <c r="J12" s="344"/>
      <c r="K12" s="344"/>
      <c r="L12" s="344"/>
      <c r="M12" s="344"/>
      <c r="N12" s="344">
        <v>879.01319999999998</v>
      </c>
      <c r="O12" s="344">
        <f>+N12</f>
        <v>879.01319999999998</v>
      </c>
      <c r="P12" s="344"/>
      <c r="Q12" s="344"/>
      <c r="R12" s="344"/>
      <c r="S12" s="345"/>
      <c r="T12" s="196"/>
      <c r="U12" s="347"/>
    </row>
    <row r="13" spans="1:21" ht="36" customHeight="1">
      <c r="A13" s="97" t="s">
        <v>261</v>
      </c>
      <c r="B13" s="107" t="s">
        <v>260</v>
      </c>
      <c r="C13" s="98">
        <v>14553</v>
      </c>
      <c r="D13" s="359">
        <f>SUM(E13:N13)+SUM(Q13:R13)</f>
        <v>14708.57258</v>
      </c>
      <c r="E13" s="359">
        <v>5087.2572799999998</v>
      </c>
      <c r="F13" s="359"/>
      <c r="G13" s="359">
        <v>469.17329999999998</v>
      </c>
      <c r="H13" s="359"/>
      <c r="I13" s="359"/>
      <c r="J13" s="359"/>
      <c r="K13" s="359"/>
      <c r="L13" s="359"/>
      <c r="M13" s="359"/>
      <c r="N13" s="359">
        <v>8263.4220000000005</v>
      </c>
      <c r="O13" s="359">
        <v>5185.1293999999998</v>
      </c>
      <c r="P13" s="359">
        <v>5.0921000000000003</v>
      </c>
      <c r="Q13" s="360">
        <v>888.72</v>
      </c>
      <c r="R13" s="359"/>
      <c r="S13" s="361"/>
      <c r="T13" s="196">
        <f t="shared" si="2"/>
        <v>101.06900694014979</v>
      </c>
      <c r="U13" s="79"/>
    </row>
    <row r="14" spans="1:21" s="205" customFormat="1" ht="37.5" customHeight="1">
      <c r="A14" s="339" t="s">
        <v>261</v>
      </c>
      <c r="B14" s="342" t="s">
        <v>467</v>
      </c>
      <c r="C14" s="98" t="e">
        <f>+(B01STC!#REF!-400000000)/1000000</f>
        <v>#REF!</v>
      </c>
      <c r="D14" s="344" t="e">
        <f>+B01STC!#REF!/1000000</f>
        <v>#REF!</v>
      </c>
      <c r="E14" s="344">
        <v>1559.59</v>
      </c>
      <c r="F14" s="344"/>
      <c r="G14" s="344"/>
      <c r="H14" s="344"/>
      <c r="I14" s="344"/>
      <c r="J14" s="344"/>
      <c r="K14" s="344"/>
      <c r="L14" s="344"/>
      <c r="M14" s="344"/>
      <c r="N14" s="344">
        <v>8263.4220000000005</v>
      </c>
      <c r="O14" s="344"/>
      <c r="P14" s="344">
        <v>95.429199999999994</v>
      </c>
      <c r="Q14" s="348">
        <v>888.72</v>
      </c>
      <c r="R14" s="344"/>
      <c r="S14" s="345"/>
      <c r="T14" s="196" t="e">
        <f t="shared" si="2"/>
        <v>#REF!</v>
      </c>
    </row>
    <row r="15" spans="1:21" s="205" customFormat="1" ht="37.5" customHeight="1">
      <c r="A15" s="339"/>
      <c r="B15" s="342"/>
      <c r="C15" s="98"/>
      <c r="D15" s="344"/>
      <c r="E15" s="344"/>
      <c r="F15" s="344"/>
      <c r="G15" s="344"/>
      <c r="H15" s="344"/>
      <c r="I15" s="344"/>
      <c r="J15" s="344"/>
      <c r="K15" s="344"/>
      <c r="L15" s="344"/>
      <c r="M15" s="344"/>
      <c r="N15" s="344"/>
      <c r="O15" s="344"/>
      <c r="P15" s="344"/>
      <c r="Q15" s="348"/>
      <c r="R15" s="344"/>
      <c r="S15" s="345"/>
      <c r="T15" s="196"/>
    </row>
    <row r="16" spans="1:21" s="205" customFormat="1" ht="37.5" customHeight="1">
      <c r="A16" s="339"/>
      <c r="B16" s="342"/>
      <c r="C16" s="98"/>
      <c r="D16" s="344"/>
      <c r="E16" s="344"/>
      <c r="F16" s="344"/>
      <c r="G16" s="344"/>
      <c r="H16" s="344"/>
      <c r="I16" s="344"/>
      <c r="J16" s="344"/>
      <c r="K16" s="344"/>
      <c r="L16" s="344"/>
      <c r="M16" s="344"/>
      <c r="N16" s="344"/>
      <c r="O16" s="344"/>
      <c r="P16" s="344"/>
      <c r="Q16" s="348"/>
      <c r="R16" s="344"/>
      <c r="S16" s="345"/>
      <c r="T16" s="196"/>
    </row>
    <row r="17" spans="1:20" s="33" customFormat="1" ht="26.25" customHeight="1">
      <c r="A17" s="74" t="s">
        <v>261</v>
      </c>
      <c r="B17" s="189" t="s">
        <v>692</v>
      </c>
      <c r="C17" s="377">
        <f>+'[1]Biểu 04-QTNĐ, huyện, xã'!$O$153/1000000</f>
        <v>2551.1238130000002</v>
      </c>
      <c r="D17" s="378">
        <f>SUM(E17:N17)+Q17+R17+S17</f>
        <v>2510.9597000000003</v>
      </c>
      <c r="E17" s="50">
        <v>116.9646</v>
      </c>
      <c r="F17" s="50"/>
      <c r="G17" s="50"/>
      <c r="H17" s="50"/>
      <c r="I17" s="50"/>
      <c r="J17" s="50">
        <v>119.4143</v>
      </c>
      <c r="K17" s="50"/>
      <c r="L17" s="50"/>
      <c r="M17" s="50"/>
      <c r="N17" s="50">
        <v>2274.5808000000002</v>
      </c>
      <c r="O17" s="50">
        <v>2179.1516000000001</v>
      </c>
      <c r="P17" s="50">
        <v>95.429199999999994</v>
      </c>
      <c r="Q17" s="50"/>
      <c r="R17" s="50"/>
      <c r="S17" s="49"/>
      <c r="T17" s="379">
        <f t="shared" si="2"/>
        <v>98.425630586985562</v>
      </c>
    </row>
    <row r="18" spans="1:20" s="205" customFormat="1" ht="39" customHeight="1">
      <c r="A18" s="339" t="s">
        <v>261</v>
      </c>
      <c r="B18" s="342" t="s">
        <v>725</v>
      </c>
      <c r="C18" s="343"/>
      <c r="D18" s="349">
        <f>SUM(E18:N18)+Q18+R18+S18</f>
        <v>10755.455720000002</v>
      </c>
      <c r="E18" s="350">
        <v>3930.6266999999998</v>
      </c>
      <c r="F18" s="344"/>
      <c r="G18" s="344"/>
      <c r="H18" s="344">
        <v>370.10480000000001</v>
      </c>
      <c r="I18" s="344"/>
      <c r="J18" s="344">
        <v>1997.5315000000001</v>
      </c>
      <c r="K18" s="344"/>
      <c r="L18" s="344"/>
      <c r="M18" s="344"/>
      <c r="N18" s="344">
        <v>3078.8958670000002</v>
      </c>
      <c r="O18" s="344">
        <v>2380.6297970000001</v>
      </c>
      <c r="P18" s="344">
        <v>114.33880000000001</v>
      </c>
      <c r="Q18" s="344">
        <v>987.80955300000005</v>
      </c>
      <c r="R18" s="344">
        <v>390.4873</v>
      </c>
      <c r="S18" s="345"/>
      <c r="T18" s="196" t="e">
        <f t="shared" si="2"/>
        <v>#DIV/0!</v>
      </c>
    </row>
    <row r="19" spans="1:20" s="85" customFormat="1" ht="24.75" customHeight="1">
      <c r="A19" s="352">
        <v>2</v>
      </c>
      <c r="B19" s="353" t="s">
        <v>166</v>
      </c>
      <c r="C19" s="354" t="e">
        <f>+C20</f>
        <v>#REF!</v>
      </c>
      <c r="D19" s="354" t="e">
        <f t="shared" ref="D19:S21" si="4">+D20</f>
        <v>#REF!</v>
      </c>
      <c r="E19" s="354">
        <f t="shared" si="4"/>
        <v>0</v>
      </c>
      <c r="F19" s="354">
        <f t="shared" si="4"/>
        <v>0</v>
      </c>
      <c r="G19" s="354">
        <f t="shared" si="4"/>
        <v>0</v>
      </c>
      <c r="H19" s="354">
        <f t="shared" si="4"/>
        <v>0</v>
      </c>
      <c r="I19" s="354">
        <f t="shared" si="4"/>
        <v>0</v>
      </c>
      <c r="J19" s="354" t="e">
        <f t="shared" si="4"/>
        <v>#REF!</v>
      </c>
      <c r="K19" s="354">
        <f t="shared" si="4"/>
        <v>0</v>
      </c>
      <c r="L19" s="354">
        <f t="shared" si="4"/>
        <v>0</v>
      </c>
      <c r="M19" s="354">
        <f t="shared" si="4"/>
        <v>0</v>
      </c>
      <c r="N19" s="354">
        <f t="shared" si="4"/>
        <v>0</v>
      </c>
      <c r="O19" s="354">
        <f t="shared" si="4"/>
        <v>0</v>
      </c>
      <c r="P19" s="354">
        <f t="shared" si="4"/>
        <v>0</v>
      </c>
      <c r="Q19" s="354">
        <f t="shared" si="4"/>
        <v>0</v>
      </c>
      <c r="R19" s="354">
        <f t="shared" si="4"/>
        <v>0</v>
      </c>
      <c r="S19" s="354">
        <f t="shared" si="4"/>
        <v>0</v>
      </c>
      <c r="T19" s="355" t="e">
        <f t="shared" si="2"/>
        <v>#REF!</v>
      </c>
    </row>
    <row r="20" spans="1:20" ht="44.25" customHeight="1">
      <c r="A20" s="191" t="s">
        <v>62</v>
      </c>
      <c r="B20" s="341" t="s">
        <v>635</v>
      </c>
      <c r="C20" s="192" t="e">
        <f>+'61'!#REF!</f>
        <v>#REF!</v>
      </c>
      <c r="D20" s="193" t="e">
        <f>SUM(E20:N20)+Q20+R20+S20</f>
        <v>#REF!</v>
      </c>
      <c r="E20" s="194"/>
      <c r="F20" s="195"/>
      <c r="G20" s="195"/>
      <c r="H20" s="195"/>
      <c r="I20" s="195"/>
      <c r="J20" s="195" t="e">
        <f>+'61'!#REF!</f>
        <v>#REF!</v>
      </c>
      <c r="K20" s="195"/>
      <c r="L20" s="195"/>
      <c r="M20" s="195"/>
      <c r="N20" s="195"/>
      <c r="O20" s="195"/>
      <c r="P20" s="195"/>
      <c r="Q20" s="195"/>
      <c r="R20" s="195"/>
      <c r="S20" s="196"/>
      <c r="T20" s="196" t="e">
        <f t="shared" si="2"/>
        <v>#REF!</v>
      </c>
    </row>
    <row r="21" spans="1:20" ht="34.5" customHeight="1">
      <c r="A21" s="97">
        <v>3</v>
      </c>
      <c r="B21" s="340" t="s">
        <v>724</v>
      </c>
      <c r="C21" s="98">
        <f>+C22</f>
        <v>50</v>
      </c>
      <c r="D21" s="98" t="e">
        <f t="shared" si="4"/>
        <v>#REF!</v>
      </c>
      <c r="E21" s="98">
        <f t="shared" si="4"/>
        <v>0</v>
      </c>
      <c r="F21" s="98">
        <f t="shared" si="4"/>
        <v>0</v>
      </c>
      <c r="G21" s="98">
        <f t="shared" si="4"/>
        <v>0</v>
      </c>
      <c r="H21" s="98">
        <f t="shared" si="4"/>
        <v>0</v>
      </c>
      <c r="I21" s="98">
        <f t="shared" si="4"/>
        <v>0</v>
      </c>
      <c r="J21" s="98" t="e">
        <f t="shared" si="4"/>
        <v>#REF!</v>
      </c>
      <c r="K21" s="98">
        <f t="shared" si="4"/>
        <v>0</v>
      </c>
      <c r="L21" s="98">
        <f t="shared" si="4"/>
        <v>0</v>
      </c>
      <c r="M21" s="98">
        <f t="shared" si="4"/>
        <v>0</v>
      </c>
      <c r="N21" s="98">
        <f t="shared" si="4"/>
        <v>0</v>
      </c>
      <c r="O21" s="98">
        <f t="shared" si="4"/>
        <v>0</v>
      </c>
      <c r="P21" s="98">
        <f t="shared" si="4"/>
        <v>0</v>
      </c>
      <c r="Q21" s="98">
        <f t="shared" si="4"/>
        <v>0</v>
      </c>
      <c r="R21" s="98">
        <f t="shared" si="4"/>
        <v>0</v>
      </c>
      <c r="S21" s="98">
        <f t="shared" si="4"/>
        <v>50</v>
      </c>
      <c r="T21" s="196" t="e">
        <f t="shared" si="2"/>
        <v>#REF!</v>
      </c>
    </row>
    <row r="22" spans="1:20" ht="44.25" customHeight="1">
      <c r="A22" s="191" t="s">
        <v>62</v>
      </c>
      <c r="B22" s="107" t="s">
        <v>725</v>
      </c>
      <c r="C22" s="192">
        <v>50</v>
      </c>
      <c r="D22" s="193" t="e">
        <f>SUM(E22:N22)+Q22+R22+S22</f>
        <v>#REF!</v>
      </c>
      <c r="E22" s="194"/>
      <c r="F22" s="195"/>
      <c r="G22" s="195"/>
      <c r="H22" s="195"/>
      <c r="I22" s="195"/>
      <c r="J22" s="195" t="e">
        <f>+'61'!#REF!</f>
        <v>#REF!</v>
      </c>
      <c r="K22" s="195"/>
      <c r="L22" s="195"/>
      <c r="M22" s="195"/>
      <c r="N22" s="195"/>
      <c r="O22" s="195"/>
      <c r="P22" s="195"/>
      <c r="Q22" s="195"/>
      <c r="R22" s="195"/>
      <c r="S22" s="196">
        <v>50</v>
      </c>
      <c r="T22" s="196" t="e">
        <f>+D22/C22*100</f>
        <v>#REF!</v>
      </c>
    </row>
    <row r="23" spans="1:20" ht="19.5" customHeight="1">
      <c r="D23" s="99"/>
      <c r="E23" s="100"/>
      <c r="G23" s="101"/>
      <c r="O23" s="1670" t="s">
        <v>233</v>
      </c>
      <c r="P23" s="1670"/>
      <c r="Q23" s="1670"/>
      <c r="R23" s="1670"/>
      <c r="S23" s="1670"/>
      <c r="T23" s="1670"/>
    </row>
    <row r="24" spans="1:20" ht="19.5" customHeight="1">
      <c r="D24" s="88"/>
      <c r="E24" s="83"/>
      <c r="O24" s="1670" t="s">
        <v>234</v>
      </c>
      <c r="P24" s="1670"/>
      <c r="Q24" s="1670"/>
      <c r="R24" s="1670"/>
      <c r="S24" s="1670"/>
      <c r="T24" s="1670"/>
    </row>
    <row r="25" spans="1:20" ht="15" customHeight="1">
      <c r="D25" s="185"/>
      <c r="E25" s="83"/>
      <c r="O25" s="1667" t="s">
        <v>151</v>
      </c>
      <c r="P25" s="1667"/>
      <c r="Q25" s="1667"/>
      <c r="R25" s="1667"/>
      <c r="S25" s="1667"/>
      <c r="T25" s="1667"/>
    </row>
    <row r="26" spans="1:20" ht="15.75" customHeight="1">
      <c r="D26" s="186">
        <f>+D24-D25</f>
        <v>0</v>
      </c>
      <c r="E26" s="184"/>
      <c r="O26" s="366"/>
      <c r="P26" s="366"/>
      <c r="Q26" s="366"/>
      <c r="R26" s="366"/>
      <c r="S26" s="366"/>
      <c r="T26" s="366"/>
    </row>
    <row r="27" spans="1:20" ht="15.75" customHeight="1">
      <c r="D27" s="184"/>
      <c r="E27" s="184"/>
      <c r="O27" s="366"/>
      <c r="P27" s="366"/>
      <c r="Q27" s="366"/>
      <c r="R27" s="366"/>
      <c r="S27" s="366"/>
      <c r="T27" s="366"/>
    </row>
    <row r="28" spans="1:20" ht="15.75" customHeight="1">
      <c r="D28" s="184"/>
      <c r="E28" s="184"/>
      <c r="O28" s="366"/>
      <c r="P28" s="366"/>
      <c r="Q28" s="366"/>
      <c r="R28" s="366"/>
      <c r="S28" s="366"/>
      <c r="T28" s="366"/>
    </row>
    <row r="29" spans="1:20" ht="12.75" customHeight="1">
      <c r="D29" s="184"/>
      <c r="E29" s="184"/>
      <c r="O29" s="366"/>
      <c r="P29" s="366"/>
      <c r="Q29" s="366"/>
      <c r="R29" s="366"/>
      <c r="S29" s="366"/>
      <c r="T29" s="366"/>
    </row>
    <row r="30" spans="1:20" ht="12.75" customHeight="1">
      <c r="D30" s="184"/>
      <c r="E30" s="184"/>
      <c r="O30" s="366"/>
      <c r="P30" s="366"/>
      <c r="Q30" s="366"/>
      <c r="R30" s="366"/>
      <c r="S30" s="366"/>
      <c r="T30" s="366"/>
    </row>
    <row r="31" spans="1:20" ht="11.25" customHeight="1">
      <c r="O31" s="102"/>
      <c r="P31" s="102"/>
      <c r="Q31" s="103"/>
      <c r="R31" s="104"/>
      <c r="S31" s="104"/>
      <c r="T31" s="102"/>
    </row>
    <row r="32" spans="1:20" ht="18.75">
      <c r="O32" s="1717" t="s">
        <v>666</v>
      </c>
      <c r="P32" s="1717"/>
      <c r="Q32" s="1717"/>
      <c r="R32" s="1717"/>
      <c r="S32" s="1717"/>
      <c r="T32" s="1717"/>
    </row>
    <row r="33" spans="16:19">
      <c r="P33" s="28"/>
      <c r="Q33" s="29"/>
      <c r="R33" s="58"/>
      <c r="S33" s="58"/>
    </row>
    <row r="34" spans="16:19">
      <c r="P34" s="28"/>
      <c r="Q34" s="29"/>
      <c r="R34" s="58"/>
      <c r="S34" s="58"/>
    </row>
    <row r="35" spans="16:19">
      <c r="P35" s="28"/>
      <c r="Q35" s="29"/>
      <c r="R35" s="58"/>
      <c r="S35" s="58"/>
    </row>
  </sheetData>
  <mergeCells count="25">
    <mergeCell ref="O24:T24"/>
    <mergeCell ref="O25:T25"/>
    <mergeCell ref="O32:T32"/>
    <mergeCell ref="O4:P4"/>
    <mergeCell ref="Q4:Q5"/>
    <mergeCell ref="R4:R5"/>
    <mergeCell ref="S4:S5"/>
    <mergeCell ref="T4:T5"/>
    <mergeCell ref="O23:T23"/>
    <mergeCell ref="N4:N5"/>
    <mergeCell ref="R1:S1"/>
    <mergeCell ref="A2:T2"/>
    <mergeCell ref="A4:A5"/>
    <mergeCell ref="B4:B5"/>
    <mergeCell ref="C4:C5"/>
    <mergeCell ref="D4:D5"/>
    <mergeCell ref="E4:E5"/>
    <mergeCell ref="F4:F5"/>
    <mergeCell ref="G4:G5"/>
    <mergeCell ref="H4:H5"/>
    <mergeCell ref="I4:I5"/>
    <mergeCell ref="J4:J5"/>
    <mergeCell ref="K4:K5"/>
    <mergeCell ref="L4:L5"/>
    <mergeCell ref="M4:M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24"/>
  <sheetViews>
    <sheetView workbookViewId="0">
      <selection activeCell="G9" sqref="G9"/>
    </sheetView>
  </sheetViews>
  <sheetFormatPr defaultRowHeight="12.75"/>
  <cols>
    <col min="1" max="1" width="6.42578125" style="411" customWidth="1"/>
    <col min="2" max="2" width="63.28515625" style="411" customWidth="1"/>
    <col min="3" max="4" width="23.7109375" style="411" customWidth="1"/>
    <col min="5" max="5" width="19.7109375" style="411" customWidth="1"/>
    <col min="6" max="9" width="16" style="411" customWidth="1"/>
    <col min="10" max="10" width="16.7109375" style="411" customWidth="1"/>
    <col min="11" max="11" width="18" style="411" customWidth="1"/>
    <col min="12" max="12" width="12.28515625" style="411" customWidth="1"/>
    <col min="13" max="13" width="11.28515625" style="411" customWidth="1"/>
    <col min="14" max="14" width="8.7109375" style="411" customWidth="1"/>
    <col min="15" max="15" width="10.7109375" style="411" customWidth="1"/>
    <col min="16" max="16" width="13" style="411" customWidth="1"/>
    <col min="17" max="256" width="9.28515625" style="411"/>
    <col min="257" max="257" width="6.42578125" style="411" customWidth="1"/>
    <col min="258" max="258" width="63.28515625" style="411" customWidth="1"/>
    <col min="259" max="259" width="21" style="411" customWidth="1"/>
    <col min="260" max="260" width="23.7109375" style="411" customWidth="1"/>
    <col min="261" max="265" width="16" style="411" customWidth="1"/>
    <col min="266" max="266" width="16.7109375" style="411" customWidth="1"/>
    <col min="267" max="267" width="18" style="411" customWidth="1"/>
    <col min="268" max="268" width="12.28515625" style="411" customWidth="1"/>
    <col min="269" max="269" width="11.28515625" style="411" customWidth="1"/>
    <col min="270" max="270" width="8.7109375" style="411" customWidth="1"/>
    <col min="271" max="271" width="10.7109375" style="411" customWidth="1"/>
    <col min="272" max="272" width="13" style="411" customWidth="1"/>
    <col min="273" max="512" width="9.28515625" style="411"/>
    <col min="513" max="513" width="6.42578125" style="411" customWidth="1"/>
    <col min="514" max="514" width="63.28515625" style="411" customWidth="1"/>
    <col min="515" max="515" width="21" style="411" customWidth="1"/>
    <col min="516" max="516" width="23.7109375" style="411" customWidth="1"/>
    <col min="517" max="521" width="16" style="411" customWidth="1"/>
    <col min="522" max="522" width="16.7109375" style="411" customWidth="1"/>
    <col min="523" max="523" width="18" style="411" customWidth="1"/>
    <col min="524" max="524" width="12.28515625" style="411" customWidth="1"/>
    <col min="525" max="525" width="11.28515625" style="411" customWidth="1"/>
    <col min="526" max="526" width="8.7109375" style="411" customWidth="1"/>
    <col min="527" max="527" width="10.7109375" style="411" customWidth="1"/>
    <col min="528" max="528" width="13" style="411" customWidth="1"/>
    <col min="529" max="768" width="9.28515625" style="411"/>
    <col min="769" max="769" width="6.42578125" style="411" customWidth="1"/>
    <col min="770" max="770" width="63.28515625" style="411" customWidth="1"/>
    <col min="771" max="771" width="21" style="411" customWidth="1"/>
    <col min="772" max="772" width="23.7109375" style="411" customWidth="1"/>
    <col min="773" max="777" width="16" style="411" customWidth="1"/>
    <col min="778" max="778" width="16.7109375" style="411" customWidth="1"/>
    <col min="779" max="779" width="18" style="411" customWidth="1"/>
    <col min="780" max="780" width="12.28515625" style="411" customWidth="1"/>
    <col min="781" max="781" width="11.28515625" style="411" customWidth="1"/>
    <col min="782" max="782" width="8.7109375" style="411" customWidth="1"/>
    <col min="783" max="783" width="10.7109375" style="411" customWidth="1"/>
    <col min="784" max="784" width="13" style="411" customWidth="1"/>
    <col min="785" max="1024" width="9.28515625" style="411"/>
    <col min="1025" max="1025" width="6.42578125" style="411" customWidth="1"/>
    <col min="1026" max="1026" width="63.28515625" style="411" customWidth="1"/>
    <col min="1027" max="1027" width="21" style="411" customWidth="1"/>
    <col min="1028" max="1028" width="23.7109375" style="411" customWidth="1"/>
    <col min="1029" max="1033" width="16" style="411" customWidth="1"/>
    <col min="1034" max="1034" width="16.7109375" style="411" customWidth="1"/>
    <col min="1035" max="1035" width="18" style="411" customWidth="1"/>
    <col min="1036" max="1036" width="12.28515625" style="411" customWidth="1"/>
    <col min="1037" max="1037" width="11.28515625" style="411" customWidth="1"/>
    <col min="1038" max="1038" width="8.7109375" style="411" customWidth="1"/>
    <col min="1039" max="1039" width="10.7109375" style="411" customWidth="1"/>
    <col min="1040" max="1040" width="13" style="411" customWidth="1"/>
    <col min="1041" max="1280" width="9.28515625" style="411"/>
    <col min="1281" max="1281" width="6.42578125" style="411" customWidth="1"/>
    <col min="1282" max="1282" width="63.28515625" style="411" customWidth="1"/>
    <col min="1283" max="1283" width="21" style="411" customWidth="1"/>
    <col min="1284" max="1284" width="23.7109375" style="411" customWidth="1"/>
    <col min="1285" max="1289" width="16" style="411" customWidth="1"/>
    <col min="1290" max="1290" width="16.7109375" style="411" customWidth="1"/>
    <col min="1291" max="1291" width="18" style="411" customWidth="1"/>
    <col min="1292" max="1292" width="12.28515625" style="411" customWidth="1"/>
    <col min="1293" max="1293" width="11.28515625" style="411" customWidth="1"/>
    <col min="1294" max="1294" width="8.7109375" style="411" customWidth="1"/>
    <col min="1295" max="1295" width="10.7109375" style="411" customWidth="1"/>
    <col min="1296" max="1296" width="13" style="411" customWidth="1"/>
    <col min="1297" max="1536" width="9.28515625" style="411"/>
    <col min="1537" max="1537" width="6.42578125" style="411" customWidth="1"/>
    <col min="1538" max="1538" width="63.28515625" style="411" customWidth="1"/>
    <col min="1539" max="1539" width="21" style="411" customWidth="1"/>
    <col min="1540" max="1540" width="23.7109375" style="411" customWidth="1"/>
    <col min="1541" max="1545" width="16" style="411" customWidth="1"/>
    <col min="1546" max="1546" width="16.7109375" style="411" customWidth="1"/>
    <col min="1547" max="1547" width="18" style="411" customWidth="1"/>
    <col min="1548" max="1548" width="12.28515625" style="411" customWidth="1"/>
    <col min="1549" max="1549" width="11.28515625" style="411" customWidth="1"/>
    <col min="1550" max="1550" width="8.7109375" style="411" customWidth="1"/>
    <col min="1551" max="1551" width="10.7109375" style="411" customWidth="1"/>
    <col min="1552" max="1552" width="13" style="411" customWidth="1"/>
    <col min="1553" max="1792" width="9.28515625" style="411"/>
    <col min="1793" max="1793" width="6.42578125" style="411" customWidth="1"/>
    <col min="1794" max="1794" width="63.28515625" style="411" customWidth="1"/>
    <col min="1795" max="1795" width="21" style="411" customWidth="1"/>
    <col min="1796" max="1796" width="23.7109375" style="411" customWidth="1"/>
    <col min="1797" max="1801" width="16" style="411" customWidth="1"/>
    <col min="1802" max="1802" width="16.7109375" style="411" customWidth="1"/>
    <col min="1803" max="1803" width="18" style="411" customWidth="1"/>
    <col min="1804" max="1804" width="12.28515625" style="411" customWidth="1"/>
    <col min="1805" max="1805" width="11.28515625" style="411" customWidth="1"/>
    <col min="1806" max="1806" width="8.7109375" style="411" customWidth="1"/>
    <col min="1807" max="1807" width="10.7109375" style="411" customWidth="1"/>
    <col min="1808" max="1808" width="13" style="411" customWidth="1"/>
    <col min="1809" max="2048" width="9.28515625" style="411"/>
    <col min="2049" max="2049" width="6.42578125" style="411" customWidth="1"/>
    <col min="2050" max="2050" width="63.28515625" style="411" customWidth="1"/>
    <col min="2051" max="2051" width="21" style="411" customWidth="1"/>
    <col min="2052" max="2052" width="23.7109375" style="411" customWidth="1"/>
    <col min="2053" max="2057" width="16" style="411" customWidth="1"/>
    <col min="2058" max="2058" width="16.7109375" style="411" customWidth="1"/>
    <col min="2059" max="2059" width="18" style="411" customWidth="1"/>
    <col min="2060" max="2060" width="12.28515625" style="411" customWidth="1"/>
    <col min="2061" max="2061" width="11.28515625" style="411" customWidth="1"/>
    <col min="2062" max="2062" width="8.7109375" style="411" customWidth="1"/>
    <col min="2063" max="2063" width="10.7109375" style="411" customWidth="1"/>
    <col min="2064" max="2064" width="13" style="411" customWidth="1"/>
    <col min="2065" max="2304" width="9.28515625" style="411"/>
    <col min="2305" max="2305" width="6.42578125" style="411" customWidth="1"/>
    <col min="2306" max="2306" width="63.28515625" style="411" customWidth="1"/>
    <col min="2307" max="2307" width="21" style="411" customWidth="1"/>
    <col min="2308" max="2308" width="23.7109375" style="411" customWidth="1"/>
    <col min="2309" max="2313" width="16" style="411" customWidth="1"/>
    <col min="2314" max="2314" width="16.7109375" style="411" customWidth="1"/>
    <col min="2315" max="2315" width="18" style="411" customWidth="1"/>
    <col min="2316" max="2316" width="12.28515625" style="411" customWidth="1"/>
    <col min="2317" max="2317" width="11.28515625" style="411" customWidth="1"/>
    <col min="2318" max="2318" width="8.7109375" style="411" customWidth="1"/>
    <col min="2319" max="2319" width="10.7109375" style="411" customWidth="1"/>
    <col min="2320" max="2320" width="13" style="411" customWidth="1"/>
    <col min="2321" max="2560" width="9.28515625" style="411"/>
    <col min="2561" max="2561" width="6.42578125" style="411" customWidth="1"/>
    <col min="2562" max="2562" width="63.28515625" style="411" customWidth="1"/>
    <col min="2563" max="2563" width="21" style="411" customWidth="1"/>
    <col min="2564" max="2564" width="23.7109375" style="411" customWidth="1"/>
    <col min="2565" max="2569" width="16" style="411" customWidth="1"/>
    <col min="2570" max="2570" width="16.7109375" style="411" customWidth="1"/>
    <col min="2571" max="2571" width="18" style="411" customWidth="1"/>
    <col min="2572" max="2572" width="12.28515625" style="411" customWidth="1"/>
    <col min="2573" max="2573" width="11.28515625" style="411" customWidth="1"/>
    <col min="2574" max="2574" width="8.7109375" style="411" customWidth="1"/>
    <col min="2575" max="2575" width="10.7109375" style="411" customWidth="1"/>
    <col min="2576" max="2576" width="13" style="411" customWidth="1"/>
    <col min="2577" max="2816" width="9.28515625" style="411"/>
    <col min="2817" max="2817" width="6.42578125" style="411" customWidth="1"/>
    <col min="2818" max="2818" width="63.28515625" style="411" customWidth="1"/>
    <col min="2819" max="2819" width="21" style="411" customWidth="1"/>
    <col min="2820" max="2820" width="23.7109375" style="411" customWidth="1"/>
    <col min="2821" max="2825" width="16" style="411" customWidth="1"/>
    <col min="2826" max="2826" width="16.7109375" style="411" customWidth="1"/>
    <col min="2827" max="2827" width="18" style="411" customWidth="1"/>
    <col min="2828" max="2828" width="12.28515625" style="411" customWidth="1"/>
    <col min="2829" max="2829" width="11.28515625" style="411" customWidth="1"/>
    <col min="2830" max="2830" width="8.7109375" style="411" customWidth="1"/>
    <col min="2831" max="2831" width="10.7109375" style="411" customWidth="1"/>
    <col min="2832" max="2832" width="13" style="411" customWidth="1"/>
    <col min="2833" max="3072" width="9.28515625" style="411"/>
    <col min="3073" max="3073" width="6.42578125" style="411" customWidth="1"/>
    <col min="3074" max="3074" width="63.28515625" style="411" customWidth="1"/>
    <col min="3075" max="3075" width="21" style="411" customWidth="1"/>
    <col min="3076" max="3076" width="23.7109375" style="411" customWidth="1"/>
    <col min="3077" max="3081" width="16" style="411" customWidth="1"/>
    <col min="3082" max="3082" width="16.7109375" style="411" customWidth="1"/>
    <col min="3083" max="3083" width="18" style="411" customWidth="1"/>
    <col min="3084" max="3084" width="12.28515625" style="411" customWidth="1"/>
    <col min="3085" max="3085" width="11.28515625" style="411" customWidth="1"/>
    <col min="3086" max="3086" width="8.7109375" style="411" customWidth="1"/>
    <col min="3087" max="3087" width="10.7109375" style="411" customWidth="1"/>
    <col min="3088" max="3088" width="13" style="411" customWidth="1"/>
    <col min="3089" max="3328" width="9.28515625" style="411"/>
    <col min="3329" max="3329" width="6.42578125" style="411" customWidth="1"/>
    <col min="3330" max="3330" width="63.28515625" style="411" customWidth="1"/>
    <col min="3331" max="3331" width="21" style="411" customWidth="1"/>
    <col min="3332" max="3332" width="23.7109375" style="411" customWidth="1"/>
    <col min="3333" max="3337" width="16" style="411" customWidth="1"/>
    <col min="3338" max="3338" width="16.7109375" style="411" customWidth="1"/>
    <col min="3339" max="3339" width="18" style="411" customWidth="1"/>
    <col min="3340" max="3340" width="12.28515625" style="411" customWidth="1"/>
    <col min="3341" max="3341" width="11.28515625" style="411" customWidth="1"/>
    <col min="3342" max="3342" width="8.7109375" style="411" customWidth="1"/>
    <col min="3343" max="3343" width="10.7109375" style="411" customWidth="1"/>
    <col min="3344" max="3344" width="13" style="411" customWidth="1"/>
    <col min="3345" max="3584" width="9.28515625" style="411"/>
    <col min="3585" max="3585" width="6.42578125" style="411" customWidth="1"/>
    <col min="3586" max="3586" width="63.28515625" style="411" customWidth="1"/>
    <col min="3587" max="3587" width="21" style="411" customWidth="1"/>
    <col min="3588" max="3588" width="23.7109375" style="411" customWidth="1"/>
    <col min="3589" max="3593" width="16" style="411" customWidth="1"/>
    <col min="3594" max="3594" width="16.7109375" style="411" customWidth="1"/>
    <col min="3595" max="3595" width="18" style="411" customWidth="1"/>
    <col min="3596" max="3596" width="12.28515625" style="411" customWidth="1"/>
    <col min="3597" max="3597" width="11.28515625" style="411" customWidth="1"/>
    <col min="3598" max="3598" width="8.7109375" style="411" customWidth="1"/>
    <col min="3599" max="3599" width="10.7109375" style="411" customWidth="1"/>
    <col min="3600" max="3600" width="13" style="411" customWidth="1"/>
    <col min="3601" max="3840" width="9.28515625" style="411"/>
    <col min="3841" max="3841" width="6.42578125" style="411" customWidth="1"/>
    <col min="3842" max="3842" width="63.28515625" style="411" customWidth="1"/>
    <col min="3843" max="3843" width="21" style="411" customWidth="1"/>
    <col min="3844" max="3844" width="23.7109375" style="411" customWidth="1"/>
    <col min="3845" max="3849" width="16" style="411" customWidth="1"/>
    <col min="3850" max="3850" width="16.7109375" style="411" customWidth="1"/>
    <col min="3851" max="3851" width="18" style="411" customWidth="1"/>
    <col min="3852" max="3852" width="12.28515625" style="411" customWidth="1"/>
    <col min="3853" max="3853" width="11.28515625" style="411" customWidth="1"/>
    <col min="3854" max="3854" width="8.7109375" style="411" customWidth="1"/>
    <col min="3855" max="3855" width="10.7109375" style="411" customWidth="1"/>
    <col min="3856" max="3856" width="13" style="411" customWidth="1"/>
    <col min="3857" max="4096" width="9.28515625" style="411"/>
    <col min="4097" max="4097" width="6.42578125" style="411" customWidth="1"/>
    <col min="4098" max="4098" width="63.28515625" style="411" customWidth="1"/>
    <col min="4099" max="4099" width="21" style="411" customWidth="1"/>
    <col min="4100" max="4100" width="23.7109375" style="411" customWidth="1"/>
    <col min="4101" max="4105" width="16" style="411" customWidth="1"/>
    <col min="4106" max="4106" width="16.7109375" style="411" customWidth="1"/>
    <col min="4107" max="4107" width="18" style="411" customWidth="1"/>
    <col min="4108" max="4108" width="12.28515625" style="411" customWidth="1"/>
    <col min="4109" max="4109" width="11.28515625" style="411" customWidth="1"/>
    <col min="4110" max="4110" width="8.7109375" style="411" customWidth="1"/>
    <col min="4111" max="4111" width="10.7109375" style="411" customWidth="1"/>
    <col min="4112" max="4112" width="13" style="411" customWidth="1"/>
    <col min="4113" max="4352" width="9.28515625" style="411"/>
    <col min="4353" max="4353" width="6.42578125" style="411" customWidth="1"/>
    <col min="4354" max="4354" width="63.28515625" style="411" customWidth="1"/>
    <col min="4355" max="4355" width="21" style="411" customWidth="1"/>
    <col min="4356" max="4356" width="23.7109375" style="411" customWidth="1"/>
    <col min="4357" max="4361" width="16" style="411" customWidth="1"/>
    <col min="4362" max="4362" width="16.7109375" style="411" customWidth="1"/>
    <col min="4363" max="4363" width="18" style="411" customWidth="1"/>
    <col min="4364" max="4364" width="12.28515625" style="411" customWidth="1"/>
    <col min="4365" max="4365" width="11.28515625" style="411" customWidth="1"/>
    <col min="4366" max="4366" width="8.7109375" style="411" customWidth="1"/>
    <col min="4367" max="4367" width="10.7109375" style="411" customWidth="1"/>
    <col min="4368" max="4368" width="13" style="411" customWidth="1"/>
    <col min="4369" max="4608" width="9.28515625" style="411"/>
    <col min="4609" max="4609" width="6.42578125" style="411" customWidth="1"/>
    <col min="4610" max="4610" width="63.28515625" style="411" customWidth="1"/>
    <col min="4611" max="4611" width="21" style="411" customWidth="1"/>
    <col min="4612" max="4612" width="23.7109375" style="411" customWidth="1"/>
    <col min="4613" max="4617" width="16" style="411" customWidth="1"/>
    <col min="4618" max="4618" width="16.7109375" style="411" customWidth="1"/>
    <col min="4619" max="4619" width="18" style="411" customWidth="1"/>
    <col min="4620" max="4620" width="12.28515625" style="411" customWidth="1"/>
    <col min="4621" max="4621" width="11.28515625" style="411" customWidth="1"/>
    <col min="4622" max="4622" width="8.7109375" style="411" customWidth="1"/>
    <col min="4623" max="4623" width="10.7109375" style="411" customWidth="1"/>
    <col min="4624" max="4624" width="13" style="411" customWidth="1"/>
    <col min="4625" max="4864" width="9.28515625" style="411"/>
    <col min="4865" max="4865" width="6.42578125" style="411" customWidth="1"/>
    <col min="4866" max="4866" width="63.28515625" style="411" customWidth="1"/>
    <col min="4867" max="4867" width="21" style="411" customWidth="1"/>
    <col min="4868" max="4868" width="23.7109375" style="411" customWidth="1"/>
    <col min="4869" max="4873" width="16" style="411" customWidth="1"/>
    <col min="4874" max="4874" width="16.7109375" style="411" customWidth="1"/>
    <col min="4875" max="4875" width="18" style="411" customWidth="1"/>
    <col min="4876" max="4876" width="12.28515625" style="411" customWidth="1"/>
    <col min="4877" max="4877" width="11.28515625" style="411" customWidth="1"/>
    <col min="4878" max="4878" width="8.7109375" style="411" customWidth="1"/>
    <col min="4879" max="4879" width="10.7109375" style="411" customWidth="1"/>
    <col min="4880" max="4880" width="13" style="411" customWidth="1"/>
    <col min="4881" max="5120" width="9.28515625" style="411"/>
    <col min="5121" max="5121" width="6.42578125" style="411" customWidth="1"/>
    <col min="5122" max="5122" width="63.28515625" style="411" customWidth="1"/>
    <col min="5123" max="5123" width="21" style="411" customWidth="1"/>
    <col min="5124" max="5124" width="23.7109375" style="411" customWidth="1"/>
    <col min="5125" max="5129" width="16" style="411" customWidth="1"/>
    <col min="5130" max="5130" width="16.7109375" style="411" customWidth="1"/>
    <col min="5131" max="5131" width="18" style="411" customWidth="1"/>
    <col min="5132" max="5132" width="12.28515625" style="411" customWidth="1"/>
    <col min="5133" max="5133" width="11.28515625" style="411" customWidth="1"/>
    <col min="5134" max="5134" width="8.7109375" style="411" customWidth="1"/>
    <col min="5135" max="5135" width="10.7109375" style="411" customWidth="1"/>
    <col min="5136" max="5136" width="13" style="411" customWidth="1"/>
    <col min="5137" max="5376" width="9.28515625" style="411"/>
    <col min="5377" max="5377" width="6.42578125" style="411" customWidth="1"/>
    <col min="5378" max="5378" width="63.28515625" style="411" customWidth="1"/>
    <col min="5379" max="5379" width="21" style="411" customWidth="1"/>
    <col min="5380" max="5380" width="23.7109375" style="411" customWidth="1"/>
    <col min="5381" max="5385" width="16" style="411" customWidth="1"/>
    <col min="5386" max="5386" width="16.7109375" style="411" customWidth="1"/>
    <col min="5387" max="5387" width="18" style="411" customWidth="1"/>
    <col min="5388" max="5388" width="12.28515625" style="411" customWidth="1"/>
    <col min="5389" max="5389" width="11.28515625" style="411" customWidth="1"/>
    <col min="5390" max="5390" width="8.7109375" style="411" customWidth="1"/>
    <col min="5391" max="5391" width="10.7109375" style="411" customWidth="1"/>
    <col min="5392" max="5392" width="13" style="411" customWidth="1"/>
    <col min="5393" max="5632" width="9.28515625" style="411"/>
    <col min="5633" max="5633" width="6.42578125" style="411" customWidth="1"/>
    <col min="5634" max="5634" width="63.28515625" style="411" customWidth="1"/>
    <col min="5635" max="5635" width="21" style="411" customWidth="1"/>
    <col min="5636" max="5636" width="23.7109375" style="411" customWidth="1"/>
    <col min="5637" max="5641" width="16" style="411" customWidth="1"/>
    <col min="5642" max="5642" width="16.7109375" style="411" customWidth="1"/>
    <col min="5643" max="5643" width="18" style="411" customWidth="1"/>
    <col min="5644" max="5644" width="12.28515625" style="411" customWidth="1"/>
    <col min="5645" max="5645" width="11.28515625" style="411" customWidth="1"/>
    <col min="5646" max="5646" width="8.7109375" style="411" customWidth="1"/>
    <col min="5647" max="5647" width="10.7109375" style="411" customWidth="1"/>
    <col min="5648" max="5648" width="13" style="411" customWidth="1"/>
    <col min="5649" max="5888" width="9.28515625" style="411"/>
    <col min="5889" max="5889" width="6.42578125" style="411" customWidth="1"/>
    <col min="5890" max="5890" width="63.28515625" style="411" customWidth="1"/>
    <col min="5891" max="5891" width="21" style="411" customWidth="1"/>
    <col min="5892" max="5892" width="23.7109375" style="411" customWidth="1"/>
    <col min="5893" max="5897" width="16" style="411" customWidth="1"/>
    <col min="5898" max="5898" width="16.7109375" style="411" customWidth="1"/>
    <col min="5899" max="5899" width="18" style="411" customWidth="1"/>
    <col min="5900" max="5900" width="12.28515625" style="411" customWidth="1"/>
    <col min="5901" max="5901" width="11.28515625" style="411" customWidth="1"/>
    <col min="5902" max="5902" width="8.7109375" style="411" customWidth="1"/>
    <col min="5903" max="5903" width="10.7109375" style="411" customWidth="1"/>
    <col min="5904" max="5904" width="13" style="411" customWidth="1"/>
    <col min="5905" max="6144" width="9.28515625" style="411"/>
    <col min="6145" max="6145" width="6.42578125" style="411" customWidth="1"/>
    <col min="6146" max="6146" width="63.28515625" style="411" customWidth="1"/>
    <col min="6147" max="6147" width="21" style="411" customWidth="1"/>
    <col min="6148" max="6148" width="23.7109375" style="411" customWidth="1"/>
    <col min="6149" max="6153" width="16" style="411" customWidth="1"/>
    <col min="6154" max="6154" width="16.7109375" style="411" customWidth="1"/>
    <col min="6155" max="6155" width="18" style="411" customWidth="1"/>
    <col min="6156" max="6156" width="12.28515625" style="411" customWidth="1"/>
    <col min="6157" max="6157" width="11.28515625" style="411" customWidth="1"/>
    <col min="6158" max="6158" width="8.7109375" style="411" customWidth="1"/>
    <col min="6159" max="6159" width="10.7109375" style="411" customWidth="1"/>
    <col min="6160" max="6160" width="13" style="411" customWidth="1"/>
    <col min="6161" max="6400" width="9.28515625" style="411"/>
    <col min="6401" max="6401" width="6.42578125" style="411" customWidth="1"/>
    <col min="6402" max="6402" width="63.28515625" style="411" customWidth="1"/>
    <col min="6403" max="6403" width="21" style="411" customWidth="1"/>
    <col min="6404" max="6404" width="23.7109375" style="411" customWidth="1"/>
    <col min="6405" max="6409" width="16" style="411" customWidth="1"/>
    <col min="6410" max="6410" width="16.7109375" style="411" customWidth="1"/>
    <col min="6411" max="6411" width="18" style="411" customWidth="1"/>
    <col min="6412" max="6412" width="12.28515625" style="411" customWidth="1"/>
    <col min="6413" max="6413" width="11.28515625" style="411" customWidth="1"/>
    <col min="6414" max="6414" width="8.7109375" style="411" customWidth="1"/>
    <col min="6415" max="6415" width="10.7109375" style="411" customWidth="1"/>
    <col min="6416" max="6416" width="13" style="411" customWidth="1"/>
    <col min="6417" max="6656" width="9.28515625" style="411"/>
    <col min="6657" max="6657" width="6.42578125" style="411" customWidth="1"/>
    <col min="6658" max="6658" width="63.28515625" style="411" customWidth="1"/>
    <col min="6659" max="6659" width="21" style="411" customWidth="1"/>
    <col min="6660" max="6660" width="23.7109375" style="411" customWidth="1"/>
    <col min="6661" max="6665" width="16" style="411" customWidth="1"/>
    <col min="6666" max="6666" width="16.7109375" style="411" customWidth="1"/>
    <col min="6667" max="6667" width="18" style="411" customWidth="1"/>
    <col min="6668" max="6668" width="12.28515625" style="411" customWidth="1"/>
    <col min="6669" max="6669" width="11.28515625" style="411" customWidth="1"/>
    <col min="6670" max="6670" width="8.7109375" style="411" customWidth="1"/>
    <col min="6671" max="6671" width="10.7109375" style="411" customWidth="1"/>
    <col min="6672" max="6672" width="13" style="411" customWidth="1"/>
    <col min="6673" max="6912" width="9.28515625" style="411"/>
    <col min="6913" max="6913" width="6.42578125" style="411" customWidth="1"/>
    <col min="6914" max="6914" width="63.28515625" style="411" customWidth="1"/>
    <col min="6915" max="6915" width="21" style="411" customWidth="1"/>
    <col min="6916" max="6916" width="23.7109375" style="411" customWidth="1"/>
    <col min="6917" max="6921" width="16" style="411" customWidth="1"/>
    <col min="6922" max="6922" width="16.7109375" style="411" customWidth="1"/>
    <col min="6923" max="6923" width="18" style="411" customWidth="1"/>
    <col min="6924" max="6924" width="12.28515625" style="411" customWidth="1"/>
    <col min="6925" max="6925" width="11.28515625" style="411" customWidth="1"/>
    <col min="6926" max="6926" width="8.7109375" style="411" customWidth="1"/>
    <col min="6927" max="6927" width="10.7109375" style="411" customWidth="1"/>
    <col min="6928" max="6928" width="13" style="411" customWidth="1"/>
    <col min="6929" max="7168" width="9.28515625" style="411"/>
    <col min="7169" max="7169" width="6.42578125" style="411" customWidth="1"/>
    <col min="7170" max="7170" width="63.28515625" style="411" customWidth="1"/>
    <col min="7171" max="7171" width="21" style="411" customWidth="1"/>
    <col min="7172" max="7172" width="23.7109375" style="411" customWidth="1"/>
    <col min="7173" max="7177" width="16" style="411" customWidth="1"/>
    <col min="7178" max="7178" width="16.7109375" style="411" customWidth="1"/>
    <col min="7179" max="7179" width="18" style="411" customWidth="1"/>
    <col min="7180" max="7180" width="12.28515625" style="411" customWidth="1"/>
    <col min="7181" max="7181" width="11.28515625" style="411" customWidth="1"/>
    <col min="7182" max="7182" width="8.7109375" style="411" customWidth="1"/>
    <col min="7183" max="7183" width="10.7109375" style="411" customWidth="1"/>
    <col min="7184" max="7184" width="13" style="411" customWidth="1"/>
    <col min="7185" max="7424" width="9.28515625" style="411"/>
    <col min="7425" max="7425" width="6.42578125" style="411" customWidth="1"/>
    <col min="7426" max="7426" width="63.28515625" style="411" customWidth="1"/>
    <col min="7427" max="7427" width="21" style="411" customWidth="1"/>
    <col min="7428" max="7428" width="23.7109375" style="411" customWidth="1"/>
    <col min="7429" max="7433" width="16" style="411" customWidth="1"/>
    <col min="7434" max="7434" width="16.7109375" style="411" customWidth="1"/>
    <col min="7435" max="7435" width="18" style="411" customWidth="1"/>
    <col min="7436" max="7436" width="12.28515625" style="411" customWidth="1"/>
    <col min="7437" max="7437" width="11.28515625" style="411" customWidth="1"/>
    <col min="7438" max="7438" width="8.7109375" style="411" customWidth="1"/>
    <col min="7439" max="7439" width="10.7109375" style="411" customWidth="1"/>
    <col min="7440" max="7440" width="13" style="411" customWidth="1"/>
    <col min="7441" max="7680" width="9.28515625" style="411"/>
    <col min="7681" max="7681" width="6.42578125" style="411" customWidth="1"/>
    <col min="7682" max="7682" width="63.28515625" style="411" customWidth="1"/>
    <col min="7683" max="7683" width="21" style="411" customWidth="1"/>
    <col min="7684" max="7684" width="23.7109375" style="411" customWidth="1"/>
    <col min="7685" max="7689" width="16" style="411" customWidth="1"/>
    <col min="7690" max="7690" width="16.7109375" style="411" customWidth="1"/>
    <col min="7691" max="7691" width="18" style="411" customWidth="1"/>
    <col min="7692" max="7692" width="12.28515625" style="411" customWidth="1"/>
    <col min="7693" max="7693" width="11.28515625" style="411" customWidth="1"/>
    <col min="7694" max="7694" width="8.7109375" style="411" customWidth="1"/>
    <col min="7695" max="7695" width="10.7109375" style="411" customWidth="1"/>
    <col min="7696" max="7696" width="13" style="411" customWidth="1"/>
    <col min="7697" max="7936" width="9.28515625" style="411"/>
    <col min="7937" max="7937" width="6.42578125" style="411" customWidth="1"/>
    <col min="7938" max="7938" width="63.28515625" style="411" customWidth="1"/>
    <col min="7939" max="7939" width="21" style="411" customWidth="1"/>
    <col min="7940" max="7940" width="23.7109375" style="411" customWidth="1"/>
    <col min="7941" max="7945" width="16" style="411" customWidth="1"/>
    <col min="7946" max="7946" width="16.7109375" style="411" customWidth="1"/>
    <col min="7947" max="7947" width="18" style="411" customWidth="1"/>
    <col min="7948" max="7948" width="12.28515625" style="411" customWidth="1"/>
    <col min="7949" max="7949" width="11.28515625" style="411" customWidth="1"/>
    <col min="7950" max="7950" width="8.7109375" style="411" customWidth="1"/>
    <col min="7951" max="7951" width="10.7109375" style="411" customWidth="1"/>
    <col min="7952" max="7952" width="13" style="411" customWidth="1"/>
    <col min="7953" max="8192" width="9.28515625" style="411"/>
    <col min="8193" max="8193" width="6.42578125" style="411" customWidth="1"/>
    <col min="8194" max="8194" width="63.28515625" style="411" customWidth="1"/>
    <col min="8195" max="8195" width="21" style="411" customWidth="1"/>
    <col min="8196" max="8196" width="23.7109375" style="411" customWidth="1"/>
    <col min="8197" max="8201" width="16" style="411" customWidth="1"/>
    <col min="8202" max="8202" width="16.7109375" style="411" customWidth="1"/>
    <col min="8203" max="8203" width="18" style="411" customWidth="1"/>
    <col min="8204" max="8204" width="12.28515625" style="411" customWidth="1"/>
    <col min="8205" max="8205" width="11.28515625" style="411" customWidth="1"/>
    <col min="8206" max="8206" width="8.7109375" style="411" customWidth="1"/>
    <col min="8207" max="8207" width="10.7109375" style="411" customWidth="1"/>
    <col min="8208" max="8208" width="13" style="411" customWidth="1"/>
    <col min="8209" max="8448" width="9.28515625" style="411"/>
    <col min="8449" max="8449" width="6.42578125" style="411" customWidth="1"/>
    <col min="8450" max="8450" width="63.28515625" style="411" customWidth="1"/>
    <col min="8451" max="8451" width="21" style="411" customWidth="1"/>
    <col min="8452" max="8452" width="23.7109375" style="411" customWidth="1"/>
    <col min="8453" max="8457" width="16" style="411" customWidth="1"/>
    <col min="8458" max="8458" width="16.7109375" style="411" customWidth="1"/>
    <col min="8459" max="8459" width="18" style="411" customWidth="1"/>
    <col min="8460" max="8460" width="12.28515625" style="411" customWidth="1"/>
    <col min="8461" max="8461" width="11.28515625" style="411" customWidth="1"/>
    <col min="8462" max="8462" width="8.7109375" style="411" customWidth="1"/>
    <col min="8463" max="8463" width="10.7109375" style="411" customWidth="1"/>
    <col min="8464" max="8464" width="13" style="411" customWidth="1"/>
    <col min="8465" max="8704" width="9.28515625" style="411"/>
    <col min="8705" max="8705" width="6.42578125" style="411" customWidth="1"/>
    <col min="8706" max="8706" width="63.28515625" style="411" customWidth="1"/>
    <col min="8707" max="8707" width="21" style="411" customWidth="1"/>
    <col min="8708" max="8708" width="23.7109375" style="411" customWidth="1"/>
    <col min="8709" max="8713" width="16" style="411" customWidth="1"/>
    <col min="8714" max="8714" width="16.7109375" style="411" customWidth="1"/>
    <col min="8715" max="8715" width="18" style="411" customWidth="1"/>
    <col min="8716" max="8716" width="12.28515625" style="411" customWidth="1"/>
    <col min="8717" max="8717" width="11.28515625" style="411" customWidth="1"/>
    <col min="8718" max="8718" width="8.7109375" style="411" customWidth="1"/>
    <col min="8719" max="8719" width="10.7109375" style="411" customWidth="1"/>
    <col min="8720" max="8720" width="13" style="411" customWidth="1"/>
    <col min="8721" max="8960" width="9.28515625" style="411"/>
    <col min="8961" max="8961" width="6.42578125" style="411" customWidth="1"/>
    <col min="8962" max="8962" width="63.28515625" style="411" customWidth="1"/>
    <col min="8963" max="8963" width="21" style="411" customWidth="1"/>
    <col min="8964" max="8964" width="23.7109375" style="411" customWidth="1"/>
    <col min="8965" max="8969" width="16" style="411" customWidth="1"/>
    <col min="8970" max="8970" width="16.7109375" style="411" customWidth="1"/>
    <col min="8971" max="8971" width="18" style="411" customWidth="1"/>
    <col min="8972" max="8972" width="12.28515625" style="411" customWidth="1"/>
    <col min="8973" max="8973" width="11.28515625" style="411" customWidth="1"/>
    <col min="8974" max="8974" width="8.7109375" style="411" customWidth="1"/>
    <col min="8975" max="8975" width="10.7109375" style="411" customWidth="1"/>
    <col min="8976" max="8976" width="13" style="411" customWidth="1"/>
    <col min="8977" max="9216" width="9.28515625" style="411"/>
    <col min="9217" max="9217" width="6.42578125" style="411" customWidth="1"/>
    <col min="9218" max="9218" width="63.28515625" style="411" customWidth="1"/>
    <col min="9219" max="9219" width="21" style="411" customWidth="1"/>
    <col min="9220" max="9220" width="23.7109375" style="411" customWidth="1"/>
    <col min="9221" max="9225" width="16" style="411" customWidth="1"/>
    <col min="9226" max="9226" width="16.7109375" style="411" customWidth="1"/>
    <col min="9227" max="9227" width="18" style="411" customWidth="1"/>
    <col min="9228" max="9228" width="12.28515625" style="411" customWidth="1"/>
    <col min="9229" max="9229" width="11.28515625" style="411" customWidth="1"/>
    <col min="9230" max="9230" width="8.7109375" style="411" customWidth="1"/>
    <col min="9231" max="9231" width="10.7109375" style="411" customWidth="1"/>
    <col min="9232" max="9232" width="13" style="411" customWidth="1"/>
    <col min="9233" max="9472" width="9.28515625" style="411"/>
    <col min="9473" max="9473" width="6.42578125" style="411" customWidth="1"/>
    <col min="9474" max="9474" width="63.28515625" style="411" customWidth="1"/>
    <col min="9475" max="9475" width="21" style="411" customWidth="1"/>
    <col min="9476" max="9476" width="23.7109375" style="411" customWidth="1"/>
    <col min="9477" max="9481" width="16" style="411" customWidth="1"/>
    <col min="9482" max="9482" width="16.7109375" style="411" customWidth="1"/>
    <col min="9483" max="9483" width="18" style="411" customWidth="1"/>
    <col min="9484" max="9484" width="12.28515625" style="411" customWidth="1"/>
    <col min="9485" max="9485" width="11.28515625" style="411" customWidth="1"/>
    <col min="9486" max="9486" width="8.7109375" style="411" customWidth="1"/>
    <col min="9487" max="9487" width="10.7109375" style="411" customWidth="1"/>
    <col min="9488" max="9488" width="13" style="411" customWidth="1"/>
    <col min="9489" max="9728" width="9.28515625" style="411"/>
    <col min="9729" max="9729" width="6.42578125" style="411" customWidth="1"/>
    <col min="9730" max="9730" width="63.28515625" style="411" customWidth="1"/>
    <col min="9731" max="9731" width="21" style="411" customWidth="1"/>
    <col min="9732" max="9732" width="23.7109375" style="411" customWidth="1"/>
    <col min="9733" max="9737" width="16" style="411" customWidth="1"/>
    <col min="9738" max="9738" width="16.7109375" style="411" customWidth="1"/>
    <col min="9739" max="9739" width="18" style="411" customWidth="1"/>
    <col min="9740" max="9740" width="12.28515625" style="411" customWidth="1"/>
    <col min="9741" max="9741" width="11.28515625" style="411" customWidth="1"/>
    <col min="9742" max="9742" width="8.7109375" style="411" customWidth="1"/>
    <col min="9743" max="9743" width="10.7109375" style="411" customWidth="1"/>
    <col min="9744" max="9744" width="13" style="411" customWidth="1"/>
    <col min="9745" max="9984" width="9.28515625" style="411"/>
    <col min="9985" max="9985" width="6.42578125" style="411" customWidth="1"/>
    <col min="9986" max="9986" width="63.28515625" style="411" customWidth="1"/>
    <col min="9987" max="9987" width="21" style="411" customWidth="1"/>
    <col min="9988" max="9988" width="23.7109375" style="411" customWidth="1"/>
    <col min="9989" max="9993" width="16" style="411" customWidth="1"/>
    <col min="9994" max="9994" width="16.7109375" style="411" customWidth="1"/>
    <col min="9995" max="9995" width="18" style="411" customWidth="1"/>
    <col min="9996" max="9996" width="12.28515625" style="411" customWidth="1"/>
    <col min="9997" max="9997" width="11.28515625" style="411" customWidth="1"/>
    <col min="9998" max="9998" width="8.7109375" style="411" customWidth="1"/>
    <col min="9999" max="9999" width="10.7109375" style="411" customWidth="1"/>
    <col min="10000" max="10000" width="13" style="411" customWidth="1"/>
    <col min="10001" max="10240" width="9.28515625" style="411"/>
    <col min="10241" max="10241" width="6.42578125" style="411" customWidth="1"/>
    <col min="10242" max="10242" width="63.28515625" style="411" customWidth="1"/>
    <col min="10243" max="10243" width="21" style="411" customWidth="1"/>
    <col min="10244" max="10244" width="23.7109375" style="411" customWidth="1"/>
    <col min="10245" max="10249" width="16" style="411" customWidth="1"/>
    <col min="10250" max="10250" width="16.7109375" style="411" customWidth="1"/>
    <col min="10251" max="10251" width="18" style="411" customWidth="1"/>
    <col min="10252" max="10252" width="12.28515625" style="411" customWidth="1"/>
    <col min="10253" max="10253" width="11.28515625" style="411" customWidth="1"/>
    <col min="10254" max="10254" width="8.7109375" style="411" customWidth="1"/>
    <col min="10255" max="10255" width="10.7109375" style="411" customWidth="1"/>
    <col min="10256" max="10256" width="13" style="411" customWidth="1"/>
    <col min="10257" max="10496" width="9.28515625" style="411"/>
    <col min="10497" max="10497" width="6.42578125" style="411" customWidth="1"/>
    <col min="10498" max="10498" width="63.28515625" style="411" customWidth="1"/>
    <col min="10499" max="10499" width="21" style="411" customWidth="1"/>
    <col min="10500" max="10500" width="23.7109375" style="411" customWidth="1"/>
    <col min="10501" max="10505" width="16" style="411" customWidth="1"/>
    <col min="10506" max="10506" width="16.7109375" style="411" customWidth="1"/>
    <col min="10507" max="10507" width="18" style="411" customWidth="1"/>
    <col min="10508" max="10508" width="12.28515625" style="411" customWidth="1"/>
    <col min="10509" max="10509" width="11.28515625" style="411" customWidth="1"/>
    <col min="10510" max="10510" width="8.7109375" style="411" customWidth="1"/>
    <col min="10511" max="10511" width="10.7109375" style="411" customWidth="1"/>
    <col min="10512" max="10512" width="13" style="411" customWidth="1"/>
    <col min="10513" max="10752" width="9.28515625" style="411"/>
    <col min="10753" max="10753" width="6.42578125" style="411" customWidth="1"/>
    <col min="10754" max="10754" width="63.28515625" style="411" customWidth="1"/>
    <col min="10755" max="10755" width="21" style="411" customWidth="1"/>
    <col min="10756" max="10756" width="23.7109375" style="411" customWidth="1"/>
    <col min="10757" max="10761" width="16" style="411" customWidth="1"/>
    <col min="10762" max="10762" width="16.7109375" style="411" customWidth="1"/>
    <col min="10763" max="10763" width="18" style="411" customWidth="1"/>
    <col min="10764" max="10764" width="12.28515625" style="411" customWidth="1"/>
    <col min="10765" max="10765" width="11.28515625" style="411" customWidth="1"/>
    <col min="10766" max="10766" width="8.7109375" style="411" customWidth="1"/>
    <col min="10767" max="10767" width="10.7109375" style="411" customWidth="1"/>
    <col min="10768" max="10768" width="13" style="411" customWidth="1"/>
    <col min="10769" max="11008" width="9.28515625" style="411"/>
    <col min="11009" max="11009" width="6.42578125" style="411" customWidth="1"/>
    <col min="11010" max="11010" width="63.28515625" style="411" customWidth="1"/>
    <col min="11011" max="11011" width="21" style="411" customWidth="1"/>
    <col min="11012" max="11012" width="23.7109375" style="411" customWidth="1"/>
    <col min="11013" max="11017" width="16" style="411" customWidth="1"/>
    <col min="11018" max="11018" width="16.7109375" style="411" customWidth="1"/>
    <col min="11019" max="11019" width="18" style="411" customWidth="1"/>
    <col min="11020" max="11020" width="12.28515625" style="411" customWidth="1"/>
    <col min="11021" max="11021" width="11.28515625" style="411" customWidth="1"/>
    <col min="11022" max="11022" width="8.7109375" style="411" customWidth="1"/>
    <col min="11023" max="11023" width="10.7109375" style="411" customWidth="1"/>
    <col min="11024" max="11024" width="13" style="411" customWidth="1"/>
    <col min="11025" max="11264" width="9.28515625" style="411"/>
    <col min="11265" max="11265" width="6.42578125" style="411" customWidth="1"/>
    <col min="11266" max="11266" width="63.28515625" style="411" customWidth="1"/>
    <col min="11267" max="11267" width="21" style="411" customWidth="1"/>
    <col min="11268" max="11268" width="23.7109375" style="411" customWidth="1"/>
    <col min="11269" max="11273" width="16" style="411" customWidth="1"/>
    <col min="11274" max="11274" width="16.7109375" style="411" customWidth="1"/>
    <col min="11275" max="11275" width="18" style="411" customWidth="1"/>
    <col min="11276" max="11276" width="12.28515625" style="411" customWidth="1"/>
    <col min="11277" max="11277" width="11.28515625" style="411" customWidth="1"/>
    <col min="11278" max="11278" width="8.7109375" style="411" customWidth="1"/>
    <col min="11279" max="11279" width="10.7109375" style="411" customWidth="1"/>
    <col min="11280" max="11280" width="13" style="411" customWidth="1"/>
    <col min="11281" max="11520" width="9.28515625" style="411"/>
    <col min="11521" max="11521" width="6.42578125" style="411" customWidth="1"/>
    <col min="11522" max="11522" width="63.28515625" style="411" customWidth="1"/>
    <col min="11523" max="11523" width="21" style="411" customWidth="1"/>
    <col min="11524" max="11524" width="23.7109375" style="411" customWidth="1"/>
    <col min="11525" max="11529" width="16" style="411" customWidth="1"/>
    <col min="11530" max="11530" width="16.7109375" style="411" customWidth="1"/>
    <col min="11531" max="11531" width="18" style="411" customWidth="1"/>
    <col min="11532" max="11532" width="12.28515625" style="411" customWidth="1"/>
    <col min="11533" max="11533" width="11.28515625" style="411" customWidth="1"/>
    <col min="11534" max="11534" width="8.7109375" style="411" customWidth="1"/>
    <col min="11535" max="11535" width="10.7109375" style="411" customWidth="1"/>
    <col min="11536" max="11536" width="13" style="411" customWidth="1"/>
    <col min="11537" max="11776" width="9.28515625" style="411"/>
    <col min="11777" max="11777" width="6.42578125" style="411" customWidth="1"/>
    <col min="11778" max="11778" width="63.28515625" style="411" customWidth="1"/>
    <col min="11779" max="11779" width="21" style="411" customWidth="1"/>
    <col min="11780" max="11780" width="23.7109375" style="411" customWidth="1"/>
    <col min="11781" max="11785" width="16" style="411" customWidth="1"/>
    <col min="11786" max="11786" width="16.7109375" style="411" customWidth="1"/>
    <col min="11787" max="11787" width="18" style="411" customWidth="1"/>
    <col min="11788" max="11788" width="12.28515625" style="411" customWidth="1"/>
    <col min="11789" max="11789" width="11.28515625" style="411" customWidth="1"/>
    <col min="11790" max="11790" width="8.7109375" style="411" customWidth="1"/>
    <col min="11791" max="11791" width="10.7109375" style="411" customWidth="1"/>
    <col min="11792" max="11792" width="13" style="411" customWidth="1"/>
    <col min="11793" max="12032" width="9.28515625" style="411"/>
    <col min="12033" max="12033" width="6.42578125" style="411" customWidth="1"/>
    <col min="12034" max="12034" width="63.28515625" style="411" customWidth="1"/>
    <col min="12035" max="12035" width="21" style="411" customWidth="1"/>
    <col min="12036" max="12036" width="23.7109375" style="411" customWidth="1"/>
    <col min="12037" max="12041" width="16" style="411" customWidth="1"/>
    <col min="12042" max="12042" width="16.7109375" style="411" customWidth="1"/>
    <col min="12043" max="12043" width="18" style="411" customWidth="1"/>
    <col min="12044" max="12044" width="12.28515625" style="411" customWidth="1"/>
    <col min="12045" max="12045" width="11.28515625" style="411" customWidth="1"/>
    <col min="12046" max="12046" width="8.7109375" style="411" customWidth="1"/>
    <col min="12047" max="12047" width="10.7109375" style="411" customWidth="1"/>
    <col min="12048" max="12048" width="13" style="411" customWidth="1"/>
    <col min="12049" max="12288" width="9.28515625" style="411"/>
    <col min="12289" max="12289" width="6.42578125" style="411" customWidth="1"/>
    <col min="12290" max="12290" width="63.28515625" style="411" customWidth="1"/>
    <col min="12291" max="12291" width="21" style="411" customWidth="1"/>
    <col min="12292" max="12292" width="23.7109375" style="411" customWidth="1"/>
    <col min="12293" max="12297" width="16" style="411" customWidth="1"/>
    <col min="12298" max="12298" width="16.7109375" style="411" customWidth="1"/>
    <col min="12299" max="12299" width="18" style="411" customWidth="1"/>
    <col min="12300" max="12300" width="12.28515625" style="411" customWidth="1"/>
    <col min="12301" max="12301" width="11.28515625" style="411" customWidth="1"/>
    <col min="12302" max="12302" width="8.7109375" style="411" customWidth="1"/>
    <col min="12303" max="12303" width="10.7109375" style="411" customWidth="1"/>
    <col min="12304" max="12304" width="13" style="411" customWidth="1"/>
    <col min="12305" max="12544" width="9.28515625" style="411"/>
    <col min="12545" max="12545" width="6.42578125" style="411" customWidth="1"/>
    <col min="12546" max="12546" width="63.28515625" style="411" customWidth="1"/>
    <col min="12547" max="12547" width="21" style="411" customWidth="1"/>
    <col min="12548" max="12548" width="23.7109375" style="411" customWidth="1"/>
    <col min="12549" max="12553" width="16" style="411" customWidth="1"/>
    <col min="12554" max="12554" width="16.7109375" style="411" customWidth="1"/>
    <col min="12555" max="12555" width="18" style="411" customWidth="1"/>
    <col min="12556" max="12556" width="12.28515625" style="411" customWidth="1"/>
    <col min="12557" max="12557" width="11.28515625" style="411" customWidth="1"/>
    <col min="12558" max="12558" width="8.7109375" style="411" customWidth="1"/>
    <col min="12559" max="12559" width="10.7109375" style="411" customWidth="1"/>
    <col min="12560" max="12560" width="13" style="411" customWidth="1"/>
    <col min="12561" max="12800" width="9.28515625" style="411"/>
    <col min="12801" max="12801" width="6.42578125" style="411" customWidth="1"/>
    <col min="12802" max="12802" width="63.28515625" style="411" customWidth="1"/>
    <col min="12803" max="12803" width="21" style="411" customWidth="1"/>
    <col min="12804" max="12804" width="23.7109375" style="411" customWidth="1"/>
    <col min="12805" max="12809" width="16" style="411" customWidth="1"/>
    <col min="12810" max="12810" width="16.7109375" style="411" customWidth="1"/>
    <col min="12811" max="12811" width="18" style="411" customWidth="1"/>
    <col min="12812" max="12812" width="12.28515625" style="411" customWidth="1"/>
    <col min="12813" max="12813" width="11.28515625" style="411" customWidth="1"/>
    <col min="12814" max="12814" width="8.7109375" style="411" customWidth="1"/>
    <col min="12815" max="12815" width="10.7109375" style="411" customWidth="1"/>
    <col min="12816" max="12816" width="13" style="411" customWidth="1"/>
    <col min="12817" max="13056" width="9.28515625" style="411"/>
    <col min="13057" max="13057" width="6.42578125" style="411" customWidth="1"/>
    <col min="13058" max="13058" width="63.28515625" style="411" customWidth="1"/>
    <col min="13059" max="13059" width="21" style="411" customWidth="1"/>
    <col min="13060" max="13060" width="23.7109375" style="411" customWidth="1"/>
    <col min="13061" max="13065" width="16" style="411" customWidth="1"/>
    <col min="13066" max="13066" width="16.7109375" style="411" customWidth="1"/>
    <col min="13067" max="13067" width="18" style="411" customWidth="1"/>
    <col min="13068" max="13068" width="12.28515625" style="411" customWidth="1"/>
    <col min="13069" max="13069" width="11.28515625" style="411" customWidth="1"/>
    <col min="13070" max="13070" width="8.7109375" style="411" customWidth="1"/>
    <col min="13071" max="13071" width="10.7109375" style="411" customWidth="1"/>
    <col min="13072" max="13072" width="13" style="411" customWidth="1"/>
    <col min="13073" max="13312" width="9.28515625" style="411"/>
    <col min="13313" max="13313" width="6.42578125" style="411" customWidth="1"/>
    <col min="13314" max="13314" width="63.28515625" style="411" customWidth="1"/>
    <col min="13315" max="13315" width="21" style="411" customWidth="1"/>
    <col min="13316" max="13316" width="23.7109375" style="411" customWidth="1"/>
    <col min="13317" max="13321" width="16" style="411" customWidth="1"/>
    <col min="13322" max="13322" width="16.7109375" style="411" customWidth="1"/>
    <col min="13323" max="13323" width="18" style="411" customWidth="1"/>
    <col min="13324" max="13324" width="12.28515625" style="411" customWidth="1"/>
    <col min="13325" max="13325" width="11.28515625" style="411" customWidth="1"/>
    <col min="13326" max="13326" width="8.7109375" style="411" customWidth="1"/>
    <col min="13327" max="13327" width="10.7109375" style="411" customWidth="1"/>
    <col min="13328" max="13328" width="13" style="411" customWidth="1"/>
    <col min="13329" max="13568" width="9.28515625" style="411"/>
    <col min="13569" max="13569" width="6.42578125" style="411" customWidth="1"/>
    <col min="13570" max="13570" width="63.28515625" style="411" customWidth="1"/>
    <col min="13571" max="13571" width="21" style="411" customWidth="1"/>
    <col min="13572" max="13572" width="23.7109375" style="411" customWidth="1"/>
    <col min="13573" max="13577" width="16" style="411" customWidth="1"/>
    <col min="13578" max="13578" width="16.7109375" style="411" customWidth="1"/>
    <col min="13579" max="13579" width="18" style="411" customWidth="1"/>
    <col min="13580" max="13580" width="12.28515625" style="411" customWidth="1"/>
    <col min="13581" max="13581" width="11.28515625" style="411" customWidth="1"/>
    <col min="13582" max="13582" width="8.7109375" style="411" customWidth="1"/>
    <col min="13583" max="13583" width="10.7109375" style="411" customWidth="1"/>
    <col min="13584" max="13584" width="13" style="411" customWidth="1"/>
    <col min="13585" max="13824" width="9.28515625" style="411"/>
    <col min="13825" max="13825" width="6.42578125" style="411" customWidth="1"/>
    <col min="13826" max="13826" width="63.28515625" style="411" customWidth="1"/>
    <col min="13827" max="13827" width="21" style="411" customWidth="1"/>
    <col min="13828" max="13828" width="23.7109375" style="411" customWidth="1"/>
    <col min="13829" max="13833" width="16" style="411" customWidth="1"/>
    <col min="13834" max="13834" width="16.7109375" style="411" customWidth="1"/>
    <col min="13835" max="13835" width="18" style="411" customWidth="1"/>
    <col min="13836" max="13836" width="12.28515625" style="411" customWidth="1"/>
    <col min="13837" max="13837" width="11.28515625" style="411" customWidth="1"/>
    <col min="13838" max="13838" width="8.7109375" style="411" customWidth="1"/>
    <col min="13839" max="13839" width="10.7109375" style="411" customWidth="1"/>
    <col min="13840" max="13840" width="13" style="411" customWidth="1"/>
    <col min="13841" max="14080" width="9.28515625" style="411"/>
    <col min="14081" max="14081" width="6.42578125" style="411" customWidth="1"/>
    <col min="14082" max="14082" width="63.28515625" style="411" customWidth="1"/>
    <col min="14083" max="14083" width="21" style="411" customWidth="1"/>
    <col min="14084" max="14084" width="23.7109375" style="411" customWidth="1"/>
    <col min="14085" max="14089" width="16" style="411" customWidth="1"/>
    <col min="14090" max="14090" width="16.7109375" style="411" customWidth="1"/>
    <col min="14091" max="14091" width="18" style="411" customWidth="1"/>
    <col min="14092" max="14092" width="12.28515625" style="411" customWidth="1"/>
    <col min="14093" max="14093" width="11.28515625" style="411" customWidth="1"/>
    <col min="14094" max="14094" width="8.7109375" style="411" customWidth="1"/>
    <col min="14095" max="14095" width="10.7109375" style="411" customWidth="1"/>
    <col min="14096" max="14096" width="13" style="411" customWidth="1"/>
    <col min="14097" max="14336" width="9.28515625" style="411"/>
    <col min="14337" max="14337" width="6.42578125" style="411" customWidth="1"/>
    <col min="14338" max="14338" width="63.28515625" style="411" customWidth="1"/>
    <col min="14339" max="14339" width="21" style="411" customWidth="1"/>
    <col min="14340" max="14340" width="23.7109375" style="411" customWidth="1"/>
    <col min="14341" max="14345" width="16" style="411" customWidth="1"/>
    <col min="14346" max="14346" width="16.7109375" style="411" customWidth="1"/>
    <col min="14347" max="14347" width="18" style="411" customWidth="1"/>
    <col min="14348" max="14348" width="12.28515625" style="411" customWidth="1"/>
    <col min="14349" max="14349" width="11.28515625" style="411" customWidth="1"/>
    <col min="14350" max="14350" width="8.7109375" style="411" customWidth="1"/>
    <col min="14351" max="14351" width="10.7109375" style="411" customWidth="1"/>
    <col min="14352" max="14352" width="13" style="411" customWidth="1"/>
    <col min="14353" max="14592" width="9.28515625" style="411"/>
    <col min="14593" max="14593" width="6.42578125" style="411" customWidth="1"/>
    <col min="14594" max="14594" width="63.28515625" style="411" customWidth="1"/>
    <col min="14595" max="14595" width="21" style="411" customWidth="1"/>
    <col min="14596" max="14596" width="23.7109375" style="411" customWidth="1"/>
    <col min="14597" max="14601" width="16" style="411" customWidth="1"/>
    <col min="14602" max="14602" width="16.7109375" style="411" customWidth="1"/>
    <col min="14603" max="14603" width="18" style="411" customWidth="1"/>
    <col min="14604" max="14604" width="12.28515625" style="411" customWidth="1"/>
    <col min="14605" max="14605" width="11.28515625" style="411" customWidth="1"/>
    <col min="14606" max="14606" width="8.7109375" style="411" customWidth="1"/>
    <col min="14607" max="14607" width="10.7109375" style="411" customWidth="1"/>
    <col min="14608" max="14608" width="13" style="411" customWidth="1"/>
    <col min="14609" max="14848" width="9.28515625" style="411"/>
    <col min="14849" max="14849" width="6.42578125" style="411" customWidth="1"/>
    <col min="14850" max="14850" width="63.28515625" style="411" customWidth="1"/>
    <col min="14851" max="14851" width="21" style="411" customWidth="1"/>
    <col min="14852" max="14852" width="23.7109375" style="411" customWidth="1"/>
    <col min="14853" max="14857" width="16" style="411" customWidth="1"/>
    <col min="14858" max="14858" width="16.7109375" style="411" customWidth="1"/>
    <col min="14859" max="14859" width="18" style="411" customWidth="1"/>
    <col min="14860" max="14860" width="12.28515625" style="411" customWidth="1"/>
    <col min="14861" max="14861" width="11.28515625" style="411" customWidth="1"/>
    <col min="14862" max="14862" width="8.7109375" style="411" customWidth="1"/>
    <col min="14863" max="14863" width="10.7109375" style="411" customWidth="1"/>
    <col min="14864" max="14864" width="13" style="411" customWidth="1"/>
    <col min="14865" max="15104" width="9.28515625" style="411"/>
    <col min="15105" max="15105" width="6.42578125" style="411" customWidth="1"/>
    <col min="15106" max="15106" width="63.28515625" style="411" customWidth="1"/>
    <col min="15107" max="15107" width="21" style="411" customWidth="1"/>
    <col min="15108" max="15108" width="23.7109375" style="411" customWidth="1"/>
    <col min="15109" max="15113" width="16" style="411" customWidth="1"/>
    <col min="15114" max="15114" width="16.7109375" style="411" customWidth="1"/>
    <col min="15115" max="15115" width="18" style="411" customWidth="1"/>
    <col min="15116" max="15116" width="12.28515625" style="411" customWidth="1"/>
    <col min="15117" max="15117" width="11.28515625" style="411" customWidth="1"/>
    <col min="15118" max="15118" width="8.7109375" style="411" customWidth="1"/>
    <col min="15119" max="15119" width="10.7109375" style="411" customWidth="1"/>
    <col min="15120" max="15120" width="13" style="411" customWidth="1"/>
    <col min="15121" max="15360" width="9.28515625" style="411"/>
    <col min="15361" max="15361" width="6.42578125" style="411" customWidth="1"/>
    <col min="15362" max="15362" width="63.28515625" style="411" customWidth="1"/>
    <col min="15363" max="15363" width="21" style="411" customWidth="1"/>
    <col min="15364" max="15364" width="23.7109375" style="411" customWidth="1"/>
    <col min="15365" max="15369" width="16" style="411" customWidth="1"/>
    <col min="15370" max="15370" width="16.7109375" style="411" customWidth="1"/>
    <col min="15371" max="15371" width="18" style="411" customWidth="1"/>
    <col min="15372" max="15372" width="12.28515625" style="411" customWidth="1"/>
    <col min="15373" max="15373" width="11.28515625" style="411" customWidth="1"/>
    <col min="15374" max="15374" width="8.7109375" style="411" customWidth="1"/>
    <col min="15375" max="15375" width="10.7109375" style="411" customWidth="1"/>
    <col min="15376" max="15376" width="13" style="411" customWidth="1"/>
    <col min="15377" max="15616" width="9.28515625" style="411"/>
    <col min="15617" max="15617" width="6.42578125" style="411" customWidth="1"/>
    <col min="15618" max="15618" width="63.28515625" style="411" customWidth="1"/>
    <col min="15619" max="15619" width="21" style="411" customWidth="1"/>
    <col min="15620" max="15620" width="23.7109375" style="411" customWidth="1"/>
    <col min="15621" max="15625" width="16" style="411" customWidth="1"/>
    <col min="15626" max="15626" width="16.7109375" style="411" customWidth="1"/>
    <col min="15627" max="15627" width="18" style="411" customWidth="1"/>
    <col min="15628" max="15628" width="12.28515625" style="411" customWidth="1"/>
    <col min="15629" max="15629" width="11.28515625" style="411" customWidth="1"/>
    <col min="15630" max="15630" width="8.7109375" style="411" customWidth="1"/>
    <col min="15631" max="15631" width="10.7109375" style="411" customWidth="1"/>
    <col min="15632" max="15632" width="13" style="411" customWidth="1"/>
    <col min="15633" max="15872" width="9.28515625" style="411"/>
    <col min="15873" max="15873" width="6.42578125" style="411" customWidth="1"/>
    <col min="15874" max="15874" width="63.28515625" style="411" customWidth="1"/>
    <col min="15875" max="15875" width="21" style="411" customWidth="1"/>
    <col min="15876" max="15876" width="23.7109375" style="411" customWidth="1"/>
    <col min="15877" max="15881" width="16" style="411" customWidth="1"/>
    <col min="15882" max="15882" width="16.7109375" style="411" customWidth="1"/>
    <col min="15883" max="15883" width="18" style="411" customWidth="1"/>
    <col min="15884" max="15884" width="12.28515625" style="411" customWidth="1"/>
    <col min="15885" max="15885" width="11.28515625" style="411" customWidth="1"/>
    <col min="15886" max="15886" width="8.7109375" style="411" customWidth="1"/>
    <col min="15887" max="15887" width="10.7109375" style="411" customWidth="1"/>
    <col min="15888" max="15888" width="13" style="411" customWidth="1"/>
    <col min="15889" max="16128" width="9.28515625" style="411"/>
    <col min="16129" max="16129" width="6.42578125" style="411" customWidth="1"/>
    <col min="16130" max="16130" width="63.28515625" style="411" customWidth="1"/>
    <col min="16131" max="16131" width="21" style="411" customWidth="1"/>
    <col min="16132" max="16132" width="23.7109375" style="411" customWidth="1"/>
    <col min="16133" max="16137" width="16" style="411" customWidth="1"/>
    <col min="16138" max="16138" width="16.7109375" style="411" customWidth="1"/>
    <col min="16139" max="16139" width="18" style="411" customWidth="1"/>
    <col min="16140" max="16140" width="12.28515625" style="411" customWidth="1"/>
    <col min="16141" max="16141" width="11.28515625" style="411" customWidth="1"/>
    <col min="16142" max="16142" width="8.7109375" style="411" customWidth="1"/>
    <col min="16143" max="16143" width="10.7109375" style="411" customWidth="1"/>
    <col min="16144" max="16144" width="13" style="411" customWidth="1"/>
    <col min="16145" max="16384" width="9.28515625" style="411"/>
  </cols>
  <sheetData>
    <row r="1" spans="1:20">
      <c r="E1" s="412" t="s">
        <v>825</v>
      </c>
      <c r="F1" s="412"/>
      <c r="G1" s="412"/>
      <c r="H1" s="412"/>
      <c r="I1" s="412"/>
    </row>
    <row r="2" spans="1:20" ht="60" customHeight="1">
      <c r="A2" s="1846" t="s">
        <v>953</v>
      </c>
      <c r="B2" s="1846"/>
      <c r="C2" s="1846"/>
      <c r="D2" s="1846"/>
      <c r="E2" s="1846"/>
      <c r="F2" s="413"/>
      <c r="G2" s="413"/>
      <c r="H2" s="413"/>
      <c r="I2" s="413"/>
    </row>
    <row r="3" spans="1:20" ht="33.75" customHeight="1">
      <c r="A3" s="414"/>
      <c r="B3" s="414"/>
      <c r="C3" s="414"/>
      <c r="D3" s="414"/>
      <c r="E3" s="415" t="s">
        <v>216</v>
      </c>
      <c r="F3" s="416"/>
      <c r="G3" s="416"/>
      <c r="H3" s="416"/>
      <c r="I3" s="416"/>
    </row>
    <row r="4" spans="1:20" s="420" customFormat="1" ht="47.25" customHeight="1">
      <c r="A4" s="417" t="s">
        <v>313</v>
      </c>
      <c r="B4" s="417" t="s">
        <v>314</v>
      </c>
      <c r="C4" s="417" t="s">
        <v>747</v>
      </c>
      <c r="D4" s="417" t="s">
        <v>748</v>
      </c>
      <c r="E4" s="418" t="s">
        <v>60</v>
      </c>
      <c r="F4" s="419"/>
      <c r="G4" s="419"/>
      <c r="H4" s="419"/>
      <c r="I4" s="419"/>
    </row>
    <row r="5" spans="1:20" s="805" customFormat="1" ht="18.75" customHeight="1">
      <c r="A5" s="807" t="s">
        <v>316</v>
      </c>
      <c r="B5" s="807" t="s">
        <v>317</v>
      </c>
      <c r="C5" s="807" t="s">
        <v>246</v>
      </c>
      <c r="D5" s="807">
        <v>1</v>
      </c>
      <c r="E5" s="808">
        <v>2</v>
      </c>
      <c r="F5" s="809"/>
      <c r="G5" s="809"/>
      <c r="H5" s="809"/>
      <c r="I5" s="809"/>
    </row>
    <row r="6" spans="1:20" s="420" customFormat="1" ht="45.75" customHeight="1">
      <c r="A6" s="659" t="s">
        <v>117</v>
      </c>
      <c r="B6" s="659" t="s">
        <v>152</v>
      </c>
      <c r="C6" s="660"/>
      <c r="D6" s="660"/>
      <c r="E6" s="661">
        <f>SUM(E7:E13)</f>
        <v>1421.001</v>
      </c>
      <c r="F6" s="421"/>
      <c r="G6" s="421"/>
      <c r="H6" s="421"/>
      <c r="I6" s="421"/>
      <c r="J6" s="422"/>
      <c r="K6" s="422"/>
      <c r="L6" s="423"/>
      <c r="M6" s="423"/>
      <c r="N6" s="423"/>
      <c r="O6" s="423"/>
      <c r="P6" s="423"/>
      <c r="Q6" s="423"/>
      <c r="R6" s="423"/>
      <c r="S6" s="423"/>
      <c r="T6" s="423"/>
    </row>
    <row r="7" spans="1:20" s="420" customFormat="1" ht="56.25">
      <c r="A7" s="662">
        <v>1</v>
      </c>
      <c r="B7" s="663" t="s">
        <v>749</v>
      </c>
      <c r="C7" s="664" t="s">
        <v>750</v>
      </c>
      <c r="D7" s="1847" t="s">
        <v>751</v>
      </c>
      <c r="E7" s="665">
        <v>100.2</v>
      </c>
      <c r="F7" s="425"/>
      <c r="G7" s="425"/>
      <c r="H7" s="425"/>
      <c r="I7" s="425"/>
      <c r="J7" s="422"/>
      <c r="K7" s="422"/>
    </row>
    <row r="8" spans="1:20" s="420" customFormat="1" ht="59.25" customHeight="1">
      <c r="A8" s="662">
        <v>2</v>
      </c>
      <c r="B8" s="663" t="s">
        <v>752</v>
      </c>
      <c r="C8" s="664" t="s">
        <v>753</v>
      </c>
      <c r="D8" s="1847"/>
      <c r="E8" s="665">
        <v>600</v>
      </c>
      <c r="F8" s="426"/>
      <c r="G8" s="426"/>
      <c r="H8" s="426"/>
      <c r="I8" s="426"/>
      <c r="J8" s="427"/>
      <c r="K8" s="428"/>
      <c r="L8" s="422"/>
      <c r="M8" s="423"/>
      <c r="N8" s="423"/>
      <c r="O8" s="423"/>
      <c r="P8" s="423"/>
      <c r="Q8" s="423"/>
      <c r="R8" s="423"/>
      <c r="S8" s="423"/>
      <c r="T8" s="423"/>
    </row>
    <row r="9" spans="1:20" s="420" customFormat="1" ht="56.25">
      <c r="A9" s="662">
        <v>3</v>
      </c>
      <c r="B9" s="666" t="s">
        <v>754</v>
      </c>
      <c r="C9" s="664" t="s">
        <v>755</v>
      </c>
      <c r="D9" s="664" t="s">
        <v>756</v>
      </c>
      <c r="E9" s="665">
        <v>20</v>
      </c>
      <c r="F9" s="426"/>
      <c r="G9" s="426"/>
      <c r="H9" s="426"/>
      <c r="I9" s="426"/>
      <c r="K9" s="428"/>
      <c r="L9" s="422"/>
      <c r="M9" s="423"/>
      <c r="N9" s="423"/>
      <c r="O9" s="423"/>
      <c r="P9" s="423"/>
      <c r="Q9" s="423"/>
      <c r="R9" s="423"/>
      <c r="S9" s="423"/>
      <c r="T9" s="423"/>
    </row>
    <row r="10" spans="1:20" s="420" customFormat="1" ht="75" customHeight="1">
      <c r="A10" s="662">
        <v>4</v>
      </c>
      <c r="B10" s="663" t="s">
        <v>757</v>
      </c>
      <c r="C10" s="664" t="s">
        <v>758</v>
      </c>
      <c r="D10" s="664" t="s">
        <v>759</v>
      </c>
      <c r="E10" s="665">
        <f>41.8+15</f>
        <v>56.8</v>
      </c>
      <c r="F10" s="426"/>
      <c r="G10" s="426"/>
      <c r="H10" s="426"/>
      <c r="I10" s="426"/>
      <c r="J10" s="422"/>
      <c r="K10" s="422"/>
      <c r="L10" s="423"/>
      <c r="M10" s="423"/>
      <c r="N10" s="423"/>
      <c r="O10" s="423"/>
      <c r="P10" s="423"/>
      <c r="Q10" s="423"/>
      <c r="R10" s="423"/>
      <c r="S10" s="423"/>
      <c r="T10" s="423"/>
    </row>
    <row r="11" spans="1:20" s="420" customFormat="1" ht="66" customHeight="1">
      <c r="A11" s="662">
        <v>5</v>
      </c>
      <c r="B11" s="663" t="s">
        <v>760</v>
      </c>
      <c r="C11" s="664" t="s">
        <v>761</v>
      </c>
      <c r="D11" s="664" t="s">
        <v>762</v>
      </c>
      <c r="E11" s="665">
        <v>37.369999999999997</v>
      </c>
      <c r="F11" s="426"/>
      <c r="G11" s="426"/>
      <c r="H11" s="426"/>
      <c r="I11" s="426"/>
      <c r="J11" s="422"/>
      <c r="K11" s="422"/>
      <c r="L11" s="423"/>
      <c r="M11" s="423"/>
      <c r="N11" s="423"/>
      <c r="O11" s="423"/>
      <c r="P11" s="423"/>
      <c r="Q11" s="423"/>
      <c r="R11" s="423"/>
      <c r="S11" s="423"/>
      <c r="T11" s="423"/>
    </row>
    <row r="12" spans="1:20" s="420" customFormat="1" ht="69.75" customHeight="1">
      <c r="A12" s="662">
        <v>6</v>
      </c>
      <c r="B12" s="663" t="s">
        <v>763</v>
      </c>
      <c r="C12" s="664" t="s">
        <v>764</v>
      </c>
      <c r="D12" s="1847" t="s">
        <v>765</v>
      </c>
      <c r="E12" s="665">
        <f>71.301+235.33</f>
        <v>306.63100000000003</v>
      </c>
      <c r="F12" s="426"/>
      <c r="G12" s="426"/>
      <c r="H12" s="426"/>
      <c r="I12" s="426"/>
      <c r="J12" s="429"/>
      <c r="K12" s="422"/>
      <c r="L12" s="423"/>
      <c r="M12" s="423"/>
      <c r="N12" s="423"/>
      <c r="O12" s="423"/>
      <c r="P12" s="423"/>
      <c r="Q12" s="423"/>
      <c r="R12" s="423"/>
      <c r="S12" s="423"/>
      <c r="T12" s="423"/>
    </row>
    <row r="13" spans="1:20" s="420" customFormat="1" ht="54.75" customHeight="1">
      <c r="A13" s="662">
        <v>7</v>
      </c>
      <c r="B13" s="663" t="s">
        <v>766</v>
      </c>
      <c r="C13" s="664" t="s">
        <v>767</v>
      </c>
      <c r="D13" s="1847"/>
      <c r="E13" s="665">
        <f>74.63+225.37</f>
        <v>300</v>
      </c>
      <c r="F13" s="426"/>
      <c r="G13" s="426"/>
      <c r="H13" s="426"/>
      <c r="I13" s="426"/>
      <c r="J13" s="429"/>
      <c r="K13" s="422"/>
      <c r="L13" s="423"/>
      <c r="M13" s="423"/>
      <c r="N13" s="423"/>
      <c r="O13" s="423"/>
      <c r="P13" s="423"/>
      <c r="Q13" s="423"/>
      <c r="R13" s="423"/>
      <c r="S13" s="423"/>
      <c r="T13" s="423"/>
    </row>
    <row r="15" spans="1:20" ht="15.75">
      <c r="A15" s="396"/>
      <c r="B15" s="28"/>
      <c r="C15" s="1667" t="s">
        <v>741</v>
      </c>
      <c r="D15" s="1667"/>
      <c r="E15" s="1667"/>
      <c r="F15" s="1667"/>
    </row>
    <row r="16" spans="1:20" ht="18.75">
      <c r="A16" s="1670" t="s">
        <v>406</v>
      </c>
      <c r="B16" s="1670"/>
      <c r="C16" s="1670" t="s">
        <v>580</v>
      </c>
      <c r="D16" s="1670"/>
      <c r="E16" s="1670"/>
      <c r="F16" s="1670"/>
      <c r="G16" s="430"/>
      <c r="H16" s="430"/>
      <c r="I16" s="430"/>
    </row>
    <row r="17" spans="1:6" ht="15.75">
      <c r="A17" s="1667" t="s">
        <v>407</v>
      </c>
      <c r="B17" s="1667"/>
      <c r="C17" s="1667" t="s">
        <v>151</v>
      </c>
      <c r="D17" s="1667"/>
      <c r="E17" s="1667"/>
      <c r="F17" s="1667"/>
    </row>
    <row r="18" spans="1:6" ht="15">
      <c r="A18" s="28"/>
      <c r="B18" s="28"/>
      <c r="C18" s="211"/>
      <c r="D18" s="28"/>
      <c r="E18" s="28"/>
      <c r="F18" s="28"/>
    </row>
    <row r="19" spans="1:6" ht="15">
      <c r="A19" s="28"/>
      <c r="B19" s="28"/>
      <c r="C19" s="211"/>
      <c r="D19" s="28"/>
      <c r="E19" s="28"/>
      <c r="F19" s="28"/>
    </row>
    <row r="20" spans="1:6" ht="15">
      <c r="A20" s="28"/>
      <c r="B20" s="28"/>
      <c r="C20" s="211"/>
      <c r="D20" s="28"/>
      <c r="E20" s="28"/>
      <c r="F20" s="28"/>
    </row>
    <row r="21" spans="1:6" ht="15">
      <c r="A21" s="28"/>
      <c r="B21" s="28"/>
      <c r="C21" s="211"/>
      <c r="D21" s="28"/>
      <c r="E21" s="28"/>
      <c r="F21" s="28"/>
    </row>
    <row r="22" spans="1:6" ht="15">
      <c r="A22" s="28"/>
      <c r="B22" s="28"/>
      <c r="C22" s="211"/>
      <c r="D22" s="28"/>
      <c r="E22" s="28"/>
      <c r="F22" s="28"/>
    </row>
    <row r="23" spans="1:6" ht="15">
      <c r="A23" s="28"/>
      <c r="B23" s="28"/>
      <c r="C23" s="211"/>
      <c r="D23" s="28"/>
      <c r="E23" s="28"/>
      <c r="F23" s="28"/>
    </row>
    <row r="24" spans="1:6" ht="18.75">
      <c r="A24" s="1717" t="s">
        <v>513</v>
      </c>
      <c r="B24" s="1717"/>
      <c r="C24" s="1717" t="s">
        <v>553</v>
      </c>
      <c r="D24" s="1717"/>
      <c r="E24" s="1717"/>
      <c r="F24" s="1717"/>
    </row>
  </sheetData>
  <mergeCells count="10">
    <mergeCell ref="A2:E2"/>
    <mergeCell ref="D7:D8"/>
    <mergeCell ref="A24:B24"/>
    <mergeCell ref="C24:F24"/>
    <mergeCell ref="D12:D13"/>
    <mergeCell ref="C15:F15"/>
    <mergeCell ref="A16:B16"/>
    <mergeCell ref="C16:F16"/>
    <mergeCell ref="A17:B17"/>
    <mergeCell ref="C17:F17"/>
  </mergeCells>
  <pageMargins left="0.7" right="0.17" top="0.66" bottom="0.23" header="0.3" footer="0.2"/>
  <pageSetup paperSize="9" orientation="landscape"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N50"/>
  <sheetViews>
    <sheetView workbookViewId="0">
      <selection activeCell="E26" sqref="E26"/>
    </sheetView>
  </sheetViews>
  <sheetFormatPr defaultRowHeight="12.75"/>
  <cols>
    <col min="1" max="1" width="6.42578125" style="411" customWidth="1"/>
    <col min="2" max="2" width="59" style="411" customWidth="1"/>
    <col min="3" max="3" width="21.7109375" style="411" customWidth="1"/>
    <col min="4" max="5" width="18.28515625" style="411" customWidth="1"/>
    <col min="6" max="6" width="19.28515625" style="411" customWidth="1"/>
    <col min="7" max="7" width="27.42578125" style="411" hidden="1" customWidth="1"/>
    <col min="8" max="8" width="23.5703125" style="411" hidden="1" customWidth="1"/>
    <col min="9" max="9" width="24.28515625" style="411" hidden="1" customWidth="1"/>
    <col min="10" max="10" width="23.42578125" style="411" hidden="1" customWidth="1"/>
    <col min="11" max="11" width="15.28515625" style="827" customWidth="1"/>
    <col min="12" max="12" width="11.28515625" style="827" customWidth="1"/>
    <col min="13" max="13" width="13.42578125" style="819" customWidth="1"/>
    <col min="14" max="14" width="13.42578125" style="827" customWidth="1"/>
    <col min="15" max="256" width="9.28515625" style="411"/>
    <col min="257" max="257" width="6.42578125" style="411" customWidth="1"/>
    <col min="258" max="258" width="59" style="411" customWidth="1"/>
    <col min="259" max="259" width="21.7109375" style="411" customWidth="1"/>
    <col min="260" max="261" width="18.28515625" style="411" customWidth="1"/>
    <col min="262" max="262" width="19.28515625" style="411" customWidth="1"/>
    <col min="263" max="263" width="0" style="411" hidden="1" customWidth="1"/>
    <col min="264" max="264" width="23.5703125" style="411" customWidth="1"/>
    <col min="265" max="265" width="24.28515625" style="411" customWidth="1"/>
    <col min="266" max="266" width="12.28515625" style="411" customWidth="1"/>
    <col min="267" max="267" width="11.28515625" style="411" customWidth="1"/>
    <col min="268" max="268" width="8.7109375" style="411" customWidth="1"/>
    <col min="269" max="269" width="10.7109375" style="411" customWidth="1"/>
    <col min="270" max="270" width="13" style="411" customWidth="1"/>
    <col min="271" max="512" width="9.28515625" style="411"/>
    <col min="513" max="513" width="6.42578125" style="411" customWidth="1"/>
    <col min="514" max="514" width="59" style="411" customWidth="1"/>
    <col min="515" max="515" width="21.7109375" style="411" customWidth="1"/>
    <col min="516" max="517" width="18.28515625" style="411" customWidth="1"/>
    <col min="518" max="518" width="19.28515625" style="411" customWidth="1"/>
    <col min="519" max="519" width="0" style="411" hidden="1" customWidth="1"/>
    <col min="520" max="520" width="23.5703125" style="411" customWidth="1"/>
    <col min="521" max="521" width="24.28515625" style="411" customWidth="1"/>
    <col min="522" max="522" width="12.28515625" style="411" customWidth="1"/>
    <col min="523" max="523" width="11.28515625" style="411" customWidth="1"/>
    <col min="524" max="524" width="8.7109375" style="411" customWidth="1"/>
    <col min="525" max="525" width="10.7109375" style="411" customWidth="1"/>
    <col min="526" max="526" width="13" style="411" customWidth="1"/>
    <col min="527" max="768" width="9.28515625" style="411"/>
    <col min="769" max="769" width="6.42578125" style="411" customWidth="1"/>
    <col min="770" max="770" width="59" style="411" customWidth="1"/>
    <col min="771" max="771" width="21.7109375" style="411" customWidth="1"/>
    <col min="772" max="773" width="18.28515625" style="411" customWidth="1"/>
    <col min="774" max="774" width="19.28515625" style="411" customWidth="1"/>
    <col min="775" max="775" width="0" style="411" hidden="1" customWidth="1"/>
    <col min="776" max="776" width="23.5703125" style="411" customWidth="1"/>
    <col min="777" max="777" width="24.28515625" style="411" customWidth="1"/>
    <col min="778" max="778" width="12.28515625" style="411" customWidth="1"/>
    <col min="779" max="779" width="11.28515625" style="411" customWidth="1"/>
    <col min="780" max="780" width="8.7109375" style="411" customWidth="1"/>
    <col min="781" max="781" width="10.7109375" style="411" customWidth="1"/>
    <col min="782" max="782" width="13" style="411" customWidth="1"/>
    <col min="783" max="1024" width="9.28515625" style="411"/>
    <col min="1025" max="1025" width="6.42578125" style="411" customWidth="1"/>
    <col min="1026" max="1026" width="59" style="411" customWidth="1"/>
    <col min="1027" max="1027" width="21.7109375" style="411" customWidth="1"/>
    <col min="1028" max="1029" width="18.28515625" style="411" customWidth="1"/>
    <col min="1030" max="1030" width="19.28515625" style="411" customWidth="1"/>
    <col min="1031" max="1031" width="0" style="411" hidden="1" customWidth="1"/>
    <col min="1032" max="1032" width="23.5703125" style="411" customWidth="1"/>
    <col min="1033" max="1033" width="24.28515625" style="411" customWidth="1"/>
    <col min="1034" max="1034" width="12.28515625" style="411" customWidth="1"/>
    <col min="1035" max="1035" width="11.28515625" style="411" customWidth="1"/>
    <col min="1036" max="1036" width="8.7109375" style="411" customWidth="1"/>
    <col min="1037" max="1037" width="10.7109375" style="411" customWidth="1"/>
    <col min="1038" max="1038" width="13" style="411" customWidth="1"/>
    <col min="1039" max="1280" width="9.28515625" style="411"/>
    <col min="1281" max="1281" width="6.42578125" style="411" customWidth="1"/>
    <col min="1282" max="1282" width="59" style="411" customWidth="1"/>
    <col min="1283" max="1283" width="21.7109375" style="411" customWidth="1"/>
    <col min="1284" max="1285" width="18.28515625" style="411" customWidth="1"/>
    <col min="1286" max="1286" width="19.28515625" style="411" customWidth="1"/>
    <col min="1287" max="1287" width="0" style="411" hidden="1" customWidth="1"/>
    <col min="1288" max="1288" width="23.5703125" style="411" customWidth="1"/>
    <col min="1289" max="1289" width="24.28515625" style="411" customWidth="1"/>
    <col min="1290" max="1290" width="12.28515625" style="411" customWidth="1"/>
    <col min="1291" max="1291" width="11.28515625" style="411" customWidth="1"/>
    <col min="1292" max="1292" width="8.7109375" style="411" customWidth="1"/>
    <col min="1293" max="1293" width="10.7109375" style="411" customWidth="1"/>
    <col min="1294" max="1294" width="13" style="411" customWidth="1"/>
    <col min="1295" max="1536" width="9.28515625" style="411"/>
    <col min="1537" max="1537" width="6.42578125" style="411" customWidth="1"/>
    <col min="1538" max="1538" width="59" style="411" customWidth="1"/>
    <col min="1539" max="1539" width="21.7109375" style="411" customWidth="1"/>
    <col min="1540" max="1541" width="18.28515625" style="411" customWidth="1"/>
    <col min="1542" max="1542" width="19.28515625" style="411" customWidth="1"/>
    <col min="1543" max="1543" width="0" style="411" hidden="1" customWidth="1"/>
    <col min="1544" max="1544" width="23.5703125" style="411" customWidth="1"/>
    <col min="1545" max="1545" width="24.28515625" style="411" customWidth="1"/>
    <col min="1546" max="1546" width="12.28515625" style="411" customWidth="1"/>
    <col min="1547" max="1547" width="11.28515625" style="411" customWidth="1"/>
    <col min="1548" max="1548" width="8.7109375" style="411" customWidth="1"/>
    <col min="1549" max="1549" width="10.7109375" style="411" customWidth="1"/>
    <col min="1550" max="1550" width="13" style="411" customWidth="1"/>
    <col min="1551" max="1792" width="9.28515625" style="411"/>
    <col min="1793" max="1793" width="6.42578125" style="411" customWidth="1"/>
    <col min="1794" max="1794" width="59" style="411" customWidth="1"/>
    <col min="1795" max="1795" width="21.7109375" style="411" customWidth="1"/>
    <col min="1796" max="1797" width="18.28515625" style="411" customWidth="1"/>
    <col min="1798" max="1798" width="19.28515625" style="411" customWidth="1"/>
    <col min="1799" max="1799" width="0" style="411" hidden="1" customWidth="1"/>
    <col min="1800" max="1800" width="23.5703125" style="411" customWidth="1"/>
    <col min="1801" max="1801" width="24.28515625" style="411" customWidth="1"/>
    <col min="1802" max="1802" width="12.28515625" style="411" customWidth="1"/>
    <col min="1803" max="1803" width="11.28515625" style="411" customWidth="1"/>
    <col min="1804" max="1804" width="8.7109375" style="411" customWidth="1"/>
    <col min="1805" max="1805" width="10.7109375" style="411" customWidth="1"/>
    <col min="1806" max="1806" width="13" style="411" customWidth="1"/>
    <col min="1807" max="2048" width="9.28515625" style="411"/>
    <col min="2049" max="2049" width="6.42578125" style="411" customWidth="1"/>
    <col min="2050" max="2050" width="59" style="411" customWidth="1"/>
    <col min="2051" max="2051" width="21.7109375" style="411" customWidth="1"/>
    <col min="2052" max="2053" width="18.28515625" style="411" customWidth="1"/>
    <col min="2054" max="2054" width="19.28515625" style="411" customWidth="1"/>
    <col min="2055" max="2055" width="0" style="411" hidden="1" customWidth="1"/>
    <col min="2056" max="2056" width="23.5703125" style="411" customWidth="1"/>
    <col min="2057" max="2057" width="24.28515625" style="411" customWidth="1"/>
    <col min="2058" max="2058" width="12.28515625" style="411" customWidth="1"/>
    <col min="2059" max="2059" width="11.28515625" style="411" customWidth="1"/>
    <col min="2060" max="2060" width="8.7109375" style="411" customWidth="1"/>
    <col min="2061" max="2061" width="10.7109375" style="411" customWidth="1"/>
    <col min="2062" max="2062" width="13" style="411" customWidth="1"/>
    <col min="2063" max="2304" width="9.28515625" style="411"/>
    <col min="2305" max="2305" width="6.42578125" style="411" customWidth="1"/>
    <col min="2306" max="2306" width="59" style="411" customWidth="1"/>
    <col min="2307" max="2307" width="21.7109375" style="411" customWidth="1"/>
    <col min="2308" max="2309" width="18.28515625" style="411" customWidth="1"/>
    <col min="2310" max="2310" width="19.28515625" style="411" customWidth="1"/>
    <col min="2311" max="2311" width="0" style="411" hidden="1" customWidth="1"/>
    <col min="2312" max="2312" width="23.5703125" style="411" customWidth="1"/>
    <col min="2313" max="2313" width="24.28515625" style="411" customWidth="1"/>
    <col min="2314" max="2314" width="12.28515625" style="411" customWidth="1"/>
    <col min="2315" max="2315" width="11.28515625" style="411" customWidth="1"/>
    <col min="2316" max="2316" width="8.7109375" style="411" customWidth="1"/>
    <col min="2317" max="2317" width="10.7109375" style="411" customWidth="1"/>
    <col min="2318" max="2318" width="13" style="411" customWidth="1"/>
    <col min="2319" max="2560" width="9.28515625" style="411"/>
    <col min="2561" max="2561" width="6.42578125" style="411" customWidth="1"/>
    <col min="2562" max="2562" width="59" style="411" customWidth="1"/>
    <col min="2563" max="2563" width="21.7109375" style="411" customWidth="1"/>
    <col min="2564" max="2565" width="18.28515625" style="411" customWidth="1"/>
    <col min="2566" max="2566" width="19.28515625" style="411" customWidth="1"/>
    <col min="2567" max="2567" width="0" style="411" hidden="1" customWidth="1"/>
    <col min="2568" max="2568" width="23.5703125" style="411" customWidth="1"/>
    <col min="2569" max="2569" width="24.28515625" style="411" customWidth="1"/>
    <col min="2570" max="2570" width="12.28515625" style="411" customWidth="1"/>
    <col min="2571" max="2571" width="11.28515625" style="411" customWidth="1"/>
    <col min="2572" max="2572" width="8.7109375" style="411" customWidth="1"/>
    <col min="2573" max="2573" width="10.7109375" style="411" customWidth="1"/>
    <col min="2574" max="2574" width="13" style="411" customWidth="1"/>
    <col min="2575" max="2816" width="9.28515625" style="411"/>
    <col min="2817" max="2817" width="6.42578125" style="411" customWidth="1"/>
    <col min="2818" max="2818" width="59" style="411" customWidth="1"/>
    <col min="2819" max="2819" width="21.7109375" style="411" customWidth="1"/>
    <col min="2820" max="2821" width="18.28515625" style="411" customWidth="1"/>
    <col min="2822" max="2822" width="19.28515625" style="411" customWidth="1"/>
    <col min="2823" max="2823" width="0" style="411" hidden="1" customWidth="1"/>
    <col min="2824" max="2824" width="23.5703125" style="411" customWidth="1"/>
    <col min="2825" max="2825" width="24.28515625" style="411" customWidth="1"/>
    <col min="2826" max="2826" width="12.28515625" style="411" customWidth="1"/>
    <col min="2827" max="2827" width="11.28515625" style="411" customWidth="1"/>
    <col min="2828" max="2828" width="8.7109375" style="411" customWidth="1"/>
    <col min="2829" max="2829" width="10.7109375" style="411" customWidth="1"/>
    <col min="2830" max="2830" width="13" style="411" customWidth="1"/>
    <col min="2831" max="3072" width="9.28515625" style="411"/>
    <col min="3073" max="3073" width="6.42578125" style="411" customWidth="1"/>
    <col min="3074" max="3074" width="59" style="411" customWidth="1"/>
    <col min="3075" max="3075" width="21.7109375" style="411" customWidth="1"/>
    <col min="3076" max="3077" width="18.28515625" style="411" customWidth="1"/>
    <col min="3078" max="3078" width="19.28515625" style="411" customWidth="1"/>
    <col min="3079" max="3079" width="0" style="411" hidden="1" customWidth="1"/>
    <col min="3080" max="3080" width="23.5703125" style="411" customWidth="1"/>
    <col min="3081" max="3081" width="24.28515625" style="411" customWidth="1"/>
    <col min="3082" max="3082" width="12.28515625" style="411" customWidth="1"/>
    <col min="3083" max="3083" width="11.28515625" style="411" customWidth="1"/>
    <col min="3084" max="3084" width="8.7109375" style="411" customWidth="1"/>
    <col min="3085" max="3085" width="10.7109375" style="411" customWidth="1"/>
    <col min="3086" max="3086" width="13" style="411" customWidth="1"/>
    <col min="3087" max="3328" width="9.28515625" style="411"/>
    <col min="3329" max="3329" width="6.42578125" style="411" customWidth="1"/>
    <col min="3330" max="3330" width="59" style="411" customWidth="1"/>
    <col min="3331" max="3331" width="21.7109375" style="411" customWidth="1"/>
    <col min="3332" max="3333" width="18.28515625" style="411" customWidth="1"/>
    <col min="3334" max="3334" width="19.28515625" style="411" customWidth="1"/>
    <col min="3335" max="3335" width="0" style="411" hidden="1" customWidth="1"/>
    <col min="3336" max="3336" width="23.5703125" style="411" customWidth="1"/>
    <col min="3337" max="3337" width="24.28515625" style="411" customWidth="1"/>
    <col min="3338" max="3338" width="12.28515625" style="411" customWidth="1"/>
    <col min="3339" max="3339" width="11.28515625" style="411" customWidth="1"/>
    <col min="3340" max="3340" width="8.7109375" style="411" customWidth="1"/>
    <col min="3341" max="3341" width="10.7109375" style="411" customWidth="1"/>
    <col min="3342" max="3342" width="13" style="411" customWidth="1"/>
    <col min="3343" max="3584" width="9.28515625" style="411"/>
    <col min="3585" max="3585" width="6.42578125" style="411" customWidth="1"/>
    <col min="3586" max="3586" width="59" style="411" customWidth="1"/>
    <col min="3587" max="3587" width="21.7109375" style="411" customWidth="1"/>
    <col min="3588" max="3589" width="18.28515625" style="411" customWidth="1"/>
    <col min="3590" max="3590" width="19.28515625" style="411" customWidth="1"/>
    <col min="3591" max="3591" width="0" style="411" hidden="1" customWidth="1"/>
    <col min="3592" max="3592" width="23.5703125" style="411" customWidth="1"/>
    <col min="3593" max="3593" width="24.28515625" style="411" customWidth="1"/>
    <col min="3594" max="3594" width="12.28515625" style="411" customWidth="1"/>
    <col min="3595" max="3595" width="11.28515625" style="411" customWidth="1"/>
    <col min="3596" max="3596" width="8.7109375" style="411" customWidth="1"/>
    <col min="3597" max="3597" width="10.7109375" style="411" customWidth="1"/>
    <col min="3598" max="3598" width="13" style="411" customWidth="1"/>
    <col min="3599" max="3840" width="9.28515625" style="411"/>
    <col min="3841" max="3841" width="6.42578125" style="411" customWidth="1"/>
    <col min="3842" max="3842" width="59" style="411" customWidth="1"/>
    <col min="3843" max="3843" width="21.7109375" style="411" customWidth="1"/>
    <col min="3844" max="3845" width="18.28515625" style="411" customWidth="1"/>
    <col min="3846" max="3846" width="19.28515625" style="411" customWidth="1"/>
    <col min="3847" max="3847" width="0" style="411" hidden="1" customWidth="1"/>
    <col min="3848" max="3848" width="23.5703125" style="411" customWidth="1"/>
    <col min="3849" max="3849" width="24.28515625" style="411" customWidth="1"/>
    <col min="3850" max="3850" width="12.28515625" style="411" customWidth="1"/>
    <col min="3851" max="3851" width="11.28515625" style="411" customWidth="1"/>
    <col min="3852" max="3852" width="8.7109375" style="411" customWidth="1"/>
    <col min="3853" max="3853" width="10.7109375" style="411" customWidth="1"/>
    <col min="3854" max="3854" width="13" style="411" customWidth="1"/>
    <col min="3855" max="4096" width="9.28515625" style="411"/>
    <col min="4097" max="4097" width="6.42578125" style="411" customWidth="1"/>
    <col min="4098" max="4098" width="59" style="411" customWidth="1"/>
    <col min="4099" max="4099" width="21.7109375" style="411" customWidth="1"/>
    <col min="4100" max="4101" width="18.28515625" style="411" customWidth="1"/>
    <col min="4102" max="4102" width="19.28515625" style="411" customWidth="1"/>
    <col min="4103" max="4103" width="0" style="411" hidden="1" customWidth="1"/>
    <col min="4104" max="4104" width="23.5703125" style="411" customWidth="1"/>
    <col min="4105" max="4105" width="24.28515625" style="411" customWidth="1"/>
    <col min="4106" max="4106" width="12.28515625" style="411" customWidth="1"/>
    <col min="4107" max="4107" width="11.28515625" style="411" customWidth="1"/>
    <col min="4108" max="4108" width="8.7109375" style="411" customWidth="1"/>
    <col min="4109" max="4109" width="10.7109375" style="411" customWidth="1"/>
    <col min="4110" max="4110" width="13" style="411" customWidth="1"/>
    <col min="4111" max="4352" width="9.28515625" style="411"/>
    <col min="4353" max="4353" width="6.42578125" style="411" customWidth="1"/>
    <col min="4354" max="4354" width="59" style="411" customWidth="1"/>
    <col min="4355" max="4355" width="21.7109375" style="411" customWidth="1"/>
    <col min="4356" max="4357" width="18.28515625" style="411" customWidth="1"/>
    <col min="4358" max="4358" width="19.28515625" style="411" customWidth="1"/>
    <col min="4359" max="4359" width="0" style="411" hidden="1" customWidth="1"/>
    <col min="4360" max="4360" width="23.5703125" style="411" customWidth="1"/>
    <col min="4361" max="4361" width="24.28515625" style="411" customWidth="1"/>
    <col min="4362" max="4362" width="12.28515625" style="411" customWidth="1"/>
    <col min="4363" max="4363" width="11.28515625" style="411" customWidth="1"/>
    <col min="4364" max="4364" width="8.7109375" style="411" customWidth="1"/>
    <col min="4365" max="4365" width="10.7109375" style="411" customWidth="1"/>
    <col min="4366" max="4366" width="13" style="411" customWidth="1"/>
    <col min="4367" max="4608" width="9.28515625" style="411"/>
    <col min="4609" max="4609" width="6.42578125" style="411" customWidth="1"/>
    <col min="4610" max="4610" width="59" style="411" customWidth="1"/>
    <col min="4611" max="4611" width="21.7109375" style="411" customWidth="1"/>
    <col min="4612" max="4613" width="18.28515625" style="411" customWidth="1"/>
    <col min="4614" max="4614" width="19.28515625" style="411" customWidth="1"/>
    <col min="4615" max="4615" width="0" style="411" hidden="1" customWidth="1"/>
    <col min="4616" max="4616" width="23.5703125" style="411" customWidth="1"/>
    <col min="4617" max="4617" width="24.28515625" style="411" customWidth="1"/>
    <col min="4618" max="4618" width="12.28515625" style="411" customWidth="1"/>
    <col min="4619" max="4619" width="11.28515625" style="411" customWidth="1"/>
    <col min="4620" max="4620" width="8.7109375" style="411" customWidth="1"/>
    <col min="4621" max="4621" width="10.7109375" style="411" customWidth="1"/>
    <col min="4622" max="4622" width="13" style="411" customWidth="1"/>
    <col min="4623" max="4864" width="9.28515625" style="411"/>
    <col min="4865" max="4865" width="6.42578125" style="411" customWidth="1"/>
    <col min="4866" max="4866" width="59" style="411" customWidth="1"/>
    <col min="4867" max="4867" width="21.7109375" style="411" customWidth="1"/>
    <col min="4868" max="4869" width="18.28515625" style="411" customWidth="1"/>
    <col min="4870" max="4870" width="19.28515625" style="411" customWidth="1"/>
    <col min="4871" max="4871" width="0" style="411" hidden="1" customWidth="1"/>
    <col min="4872" max="4872" width="23.5703125" style="411" customWidth="1"/>
    <col min="4873" max="4873" width="24.28515625" style="411" customWidth="1"/>
    <col min="4874" max="4874" width="12.28515625" style="411" customWidth="1"/>
    <col min="4875" max="4875" width="11.28515625" style="411" customWidth="1"/>
    <col min="4876" max="4876" width="8.7109375" style="411" customWidth="1"/>
    <col min="4877" max="4877" width="10.7109375" style="411" customWidth="1"/>
    <col min="4878" max="4878" width="13" style="411" customWidth="1"/>
    <col min="4879" max="5120" width="9.28515625" style="411"/>
    <col min="5121" max="5121" width="6.42578125" style="411" customWidth="1"/>
    <col min="5122" max="5122" width="59" style="411" customWidth="1"/>
    <col min="5123" max="5123" width="21.7109375" style="411" customWidth="1"/>
    <col min="5124" max="5125" width="18.28515625" style="411" customWidth="1"/>
    <col min="5126" max="5126" width="19.28515625" style="411" customWidth="1"/>
    <col min="5127" max="5127" width="0" style="411" hidden="1" customWidth="1"/>
    <col min="5128" max="5128" width="23.5703125" style="411" customWidth="1"/>
    <col min="5129" max="5129" width="24.28515625" style="411" customWidth="1"/>
    <col min="5130" max="5130" width="12.28515625" style="411" customWidth="1"/>
    <col min="5131" max="5131" width="11.28515625" style="411" customWidth="1"/>
    <col min="5132" max="5132" width="8.7109375" style="411" customWidth="1"/>
    <col min="5133" max="5133" width="10.7109375" style="411" customWidth="1"/>
    <col min="5134" max="5134" width="13" style="411" customWidth="1"/>
    <col min="5135" max="5376" width="9.28515625" style="411"/>
    <col min="5377" max="5377" width="6.42578125" style="411" customWidth="1"/>
    <col min="5378" max="5378" width="59" style="411" customWidth="1"/>
    <col min="5379" max="5379" width="21.7109375" style="411" customWidth="1"/>
    <col min="5380" max="5381" width="18.28515625" style="411" customWidth="1"/>
    <col min="5382" max="5382" width="19.28515625" style="411" customWidth="1"/>
    <col min="5383" max="5383" width="0" style="411" hidden="1" customWidth="1"/>
    <col min="5384" max="5384" width="23.5703125" style="411" customWidth="1"/>
    <col min="5385" max="5385" width="24.28515625" style="411" customWidth="1"/>
    <col min="5386" max="5386" width="12.28515625" style="411" customWidth="1"/>
    <col min="5387" max="5387" width="11.28515625" style="411" customWidth="1"/>
    <col min="5388" max="5388" width="8.7109375" style="411" customWidth="1"/>
    <col min="5389" max="5389" width="10.7109375" style="411" customWidth="1"/>
    <col min="5390" max="5390" width="13" style="411" customWidth="1"/>
    <col min="5391" max="5632" width="9.28515625" style="411"/>
    <col min="5633" max="5633" width="6.42578125" style="411" customWidth="1"/>
    <col min="5634" max="5634" width="59" style="411" customWidth="1"/>
    <col min="5635" max="5635" width="21.7109375" style="411" customWidth="1"/>
    <col min="5636" max="5637" width="18.28515625" style="411" customWidth="1"/>
    <col min="5638" max="5638" width="19.28515625" style="411" customWidth="1"/>
    <col min="5639" max="5639" width="0" style="411" hidden="1" customWidth="1"/>
    <col min="5640" max="5640" width="23.5703125" style="411" customWidth="1"/>
    <col min="5641" max="5641" width="24.28515625" style="411" customWidth="1"/>
    <col min="5642" max="5642" width="12.28515625" style="411" customWidth="1"/>
    <col min="5643" max="5643" width="11.28515625" style="411" customWidth="1"/>
    <col min="5644" max="5644" width="8.7109375" style="411" customWidth="1"/>
    <col min="5645" max="5645" width="10.7109375" style="411" customWidth="1"/>
    <col min="5646" max="5646" width="13" style="411" customWidth="1"/>
    <col min="5647" max="5888" width="9.28515625" style="411"/>
    <col min="5889" max="5889" width="6.42578125" style="411" customWidth="1"/>
    <col min="5890" max="5890" width="59" style="411" customWidth="1"/>
    <col min="5891" max="5891" width="21.7109375" style="411" customWidth="1"/>
    <col min="5892" max="5893" width="18.28515625" style="411" customWidth="1"/>
    <col min="5894" max="5894" width="19.28515625" style="411" customWidth="1"/>
    <col min="5895" max="5895" width="0" style="411" hidden="1" customWidth="1"/>
    <col min="5896" max="5896" width="23.5703125" style="411" customWidth="1"/>
    <col min="5897" max="5897" width="24.28515625" style="411" customWidth="1"/>
    <col min="5898" max="5898" width="12.28515625" style="411" customWidth="1"/>
    <col min="5899" max="5899" width="11.28515625" style="411" customWidth="1"/>
    <col min="5900" max="5900" width="8.7109375" style="411" customWidth="1"/>
    <col min="5901" max="5901" width="10.7109375" style="411" customWidth="1"/>
    <col min="5902" max="5902" width="13" style="411" customWidth="1"/>
    <col min="5903" max="6144" width="9.28515625" style="411"/>
    <col min="6145" max="6145" width="6.42578125" style="411" customWidth="1"/>
    <col min="6146" max="6146" width="59" style="411" customWidth="1"/>
    <col min="6147" max="6147" width="21.7109375" style="411" customWidth="1"/>
    <col min="6148" max="6149" width="18.28515625" style="411" customWidth="1"/>
    <col min="6150" max="6150" width="19.28515625" style="411" customWidth="1"/>
    <col min="6151" max="6151" width="0" style="411" hidden="1" customWidth="1"/>
    <col min="6152" max="6152" width="23.5703125" style="411" customWidth="1"/>
    <col min="6153" max="6153" width="24.28515625" style="411" customWidth="1"/>
    <col min="6154" max="6154" width="12.28515625" style="411" customWidth="1"/>
    <col min="6155" max="6155" width="11.28515625" style="411" customWidth="1"/>
    <col min="6156" max="6156" width="8.7109375" style="411" customWidth="1"/>
    <col min="6157" max="6157" width="10.7109375" style="411" customWidth="1"/>
    <col min="6158" max="6158" width="13" style="411" customWidth="1"/>
    <col min="6159" max="6400" width="9.28515625" style="411"/>
    <col min="6401" max="6401" width="6.42578125" style="411" customWidth="1"/>
    <col min="6402" max="6402" width="59" style="411" customWidth="1"/>
    <col min="6403" max="6403" width="21.7109375" style="411" customWidth="1"/>
    <col min="6404" max="6405" width="18.28515625" style="411" customWidth="1"/>
    <col min="6406" max="6406" width="19.28515625" style="411" customWidth="1"/>
    <col min="6407" max="6407" width="0" style="411" hidden="1" customWidth="1"/>
    <col min="6408" max="6408" width="23.5703125" style="411" customWidth="1"/>
    <col min="6409" max="6409" width="24.28515625" style="411" customWidth="1"/>
    <col min="6410" max="6410" width="12.28515625" style="411" customWidth="1"/>
    <col min="6411" max="6411" width="11.28515625" style="411" customWidth="1"/>
    <col min="6412" max="6412" width="8.7109375" style="411" customWidth="1"/>
    <col min="6413" max="6413" width="10.7109375" style="411" customWidth="1"/>
    <col min="6414" max="6414" width="13" style="411" customWidth="1"/>
    <col min="6415" max="6656" width="9.28515625" style="411"/>
    <col min="6657" max="6657" width="6.42578125" style="411" customWidth="1"/>
    <col min="6658" max="6658" width="59" style="411" customWidth="1"/>
    <col min="6659" max="6659" width="21.7109375" style="411" customWidth="1"/>
    <col min="6660" max="6661" width="18.28515625" style="411" customWidth="1"/>
    <col min="6662" max="6662" width="19.28515625" style="411" customWidth="1"/>
    <col min="6663" max="6663" width="0" style="411" hidden="1" customWidth="1"/>
    <col min="6664" max="6664" width="23.5703125" style="411" customWidth="1"/>
    <col min="6665" max="6665" width="24.28515625" style="411" customWidth="1"/>
    <col min="6666" max="6666" width="12.28515625" style="411" customWidth="1"/>
    <col min="6667" max="6667" width="11.28515625" style="411" customWidth="1"/>
    <col min="6668" max="6668" width="8.7109375" style="411" customWidth="1"/>
    <col min="6669" max="6669" width="10.7109375" style="411" customWidth="1"/>
    <col min="6670" max="6670" width="13" style="411" customWidth="1"/>
    <col min="6671" max="6912" width="9.28515625" style="411"/>
    <col min="6913" max="6913" width="6.42578125" style="411" customWidth="1"/>
    <col min="6914" max="6914" width="59" style="411" customWidth="1"/>
    <col min="6915" max="6915" width="21.7109375" style="411" customWidth="1"/>
    <col min="6916" max="6917" width="18.28515625" style="411" customWidth="1"/>
    <col min="6918" max="6918" width="19.28515625" style="411" customWidth="1"/>
    <col min="6919" max="6919" width="0" style="411" hidden="1" customWidth="1"/>
    <col min="6920" max="6920" width="23.5703125" style="411" customWidth="1"/>
    <col min="6921" max="6921" width="24.28515625" style="411" customWidth="1"/>
    <col min="6922" max="6922" width="12.28515625" style="411" customWidth="1"/>
    <col min="6923" max="6923" width="11.28515625" style="411" customWidth="1"/>
    <col min="6924" max="6924" width="8.7109375" style="411" customWidth="1"/>
    <col min="6925" max="6925" width="10.7109375" style="411" customWidth="1"/>
    <col min="6926" max="6926" width="13" style="411" customWidth="1"/>
    <col min="6927" max="7168" width="9.28515625" style="411"/>
    <col min="7169" max="7169" width="6.42578125" style="411" customWidth="1"/>
    <col min="7170" max="7170" width="59" style="411" customWidth="1"/>
    <col min="7171" max="7171" width="21.7109375" style="411" customWidth="1"/>
    <col min="7172" max="7173" width="18.28515625" style="411" customWidth="1"/>
    <col min="7174" max="7174" width="19.28515625" style="411" customWidth="1"/>
    <col min="7175" max="7175" width="0" style="411" hidden="1" customWidth="1"/>
    <col min="7176" max="7176" width="23.5703125" style="411" customWidth="1"/>
    <col min="7177" max="7177" width="24.28515625" style="411" customWidth="1"/>
    <col min="7178" max="7178" width="12.28515625" style="411" customWidth="1"/>
    <col min="7179" max="7179" width="11.28515625" style="411" customWidth="1"/>
    <col min="7180" max="7180" width="8.7109375" style="411" customWidth="1"/>
    <col min="7181" max="7181" width="10.7109375" style="411" customWidth="1"/>
    <col min="7182" max="7182" width="13" style="411" customWidth="1"/>
    <col min="7183" max="7424" width="9.28515625" style="411"/>
    <col min="7425" max="7425" width="6.42578125" style="411" customWidth="1"/>
    <col min="7426" max="7426" width="59" style="411" customWidth="1"/>
    <col min="7427" max="7427" width="21.7109375" style="411" customWidth="1"/>
    <col min="7428" max="7429" width="18.28515625" style="411" customWidth="1"/>
    <col min="7430" max="7430" width="19.28515625" style="411" customWidth="1"/>
    <col min="7431" max="7431" width="0" style="411" hidden="1" customWidth="1"/>
    <col min="7432" max="7432" width="23.5703125" style="411" customWidth="1"/>
    <col min="7433" max="7433" width="24.28515625" style="411" customWidth="1"/>
    <col min="7434" max="7434" width="12.28515625" style="411" customWidth="1"/>
    <col min="7435" max="7435" width="11.28515625" style="411" customWidth="1"/>
    <col min="7436" max="7436" width="8.7109375" style="411" customWidth="1"/>
    <col min="7437" max="7437" width="10.7109375" style="411" customWidth="1"/>
    <col min="7438" max="7438" width="13" style="411" customWidth="1"/>
    <col min="7439" max="7680" width="9.28515625" style="411"/>
    <col min="7681" max="7681" width="6.42578125" style="411" customWidth="1"/>
    <col min="7682" max="7682" width="59" style="411" customWidth="1"/>
    <col min="7683" max="7683" width="21.7109375" style="411" customWidth="1"/>
    <col min="7684" max="7685" width="18.28515625" style="411" customWidth="1"/>
    <col min="7686" max="7686" width="19.28515625" style="411" customWidth="1"/>
    <col min="7687" max="7687" width="0" style="411" hidden="1" customWidth="1"/>
    <col min="7688" max="7688" width="23.5703125" style="411" customWidth="1"/>
    <col min="7689" max="7689" width="24.28515625" style="411" customWidth="1"/>
    <col min="7690" max="7690" width="12.28515625" style="411" customWidth="1"/>
    <col min="7691" max="7691" width="11.28515625" style="411" customWidth="1"/>
    <col min="7692" max="7692" width="8.7109375" style="411" customWidth="1"/>
    <col min="7693" max="7693" width="10.7109375" style="411" customWidth="1"/>
    <col min="7694" max="7694" width="13" style="411" customWidth="1"/>
    <col min="7695" max="7936" width="9.28515625" style="411"/>
    <col min="7937" max="7937" width="6.42578125" style="411" customWidth="1"/>
    <col min="7938" max="7938" width="59" style="411" customWidth="1"/>
    <col min="7939" max="7939" width="21.7109375" style="411" customWidth="1"/>
    <col min="7940" max="7941" width="18.28515625" style="411" customWidth="1"/>
    <col min="7942" max="7942" width="19.28515625" style="411" customWidth="1"/>
    <col min="7943" max="7943" width="0" style="411" hidden="1" customWidth="1"/>
    <col min="7944" max="7944" width="23.5703125" style="411" customWidth="1"/>
    <col min="7945" max="7945" width="24.28515625" style="411" customWidth="1"/>
    <col min="7946" max="7946" width="12.28515625" style="411" customWidth="1"/>
    <col min="7947" max="7947" width="11.28515625" style="411" customWidth="1"/>
    <col min="7948" max="7948" width="8.7109375" style="411" customWidth="1"/>
    <col min="7949" max="7949" width="10.7109375" style="411" customWidth="1"/>
    <col min="7950" max="7950" width="13" style="411" customWidth="1"/>
    <col min="7951" max="8192" width="9.28515625" style="411"/>
    <col min="8193" max="8193" width="6.42578125" style="411" customWidth="1"/>
    <col min="8194" max="8194" width="59" style="411" customWidth="1"/>
    <col min="8195" max="8195" width="21.7109375" style="411" customWidth="1"/>
    <col min="8196" max="8197" width="18.28515625" style="411" customWidth="1"/>
    <col min="8198" max="8198" width="19.28515625" style="411" customWidth="1"/>
    <col min="8199" max="8199" width="0" style="411" hidden="1" customWidth="1"/>
    <col min="8200" max="8200" width="23.5703125" style="411" customWidth="1"/>
    <col min="8201" max="8201" width="24.28515625" style="411" customWidth="1"/>
    <col min="8202" max="8202" width="12.28515625" style="411" customWidth="1"/>
    <col min="8203" max="8203" width="11.28515625" style="411" customWidth="1"/>
    <col min="8204" max="8204" width="8.7109375" style="411" customWidth="1"/>
    <col min="8205" max="8205" width="10.7109375" style="411" customWidth="1"/>
    <col min="8206" max="8206" width="13" style="411" customWidth="1"/>
    <col min="8207" max="8448" width="9.28515625" style="411"/>
    <col min="8449" max="8449" width="6.42578125" style="411" customWidth="1"/>
    <col min="8450" max="8450" width="59" style="411" customWidth="1"/>
    <col min="8451" max="8451" width="21.7109375" style="411" customWidth="1"/>
    <col min="8452" max="8453" width="18.28515625" style="411" customWidth="1"/>
    <col min="8454" max="8454" width="19.28515625" style="411" customWidth="1"/>
    <col min="8455" max="8455" width="0" style="411" hidden="1" customWidth="1"/>
    <col min="8456" max="8456" width="23.5703125" style="411" customWidth="1"/>
    <col min="8457" max="8457" width="24.28515625" style="411" customWidth="1"/>
    <col min="8458" max="8458" width="12.28515625" style="411" customWidth="1"/>
    <col min="8459" max="8459" width="11.28515625" style="411" customWidth="1"/>
    <col min="8460" max="8460" width="8.7109375" style="411" customWidth="1"/>
    <col min="8461" max="8461" width="10.7109375" style="411" customWidth="1"/>
    <col min="8462" max="8462" width="13" style="411" customWidth="1"/>
    <col min="8463" max="8704" width="9.28515625" style="411"/>
    <col min="8705" max="8705" width="6.42578125" style="411" customWidth="1"/>
    <col min="8706" max="8706" width="59" style="411" customWidth="1"/>
    <col min="8707" max="8707" width="21.7109375" style="411" customWidth="1"/>
    <col min="8708" max="8709" width="18.28515625" style="411" customWidth="1"/>
    <col min="8710" max="8710" width="19.28515625" style="411" customWidth="1"/>
    <col min="8711" max="8711" width="0" style="411" hidden="1" customWidth="1"/>
    <col min="8712" max="8712" width="23.5703125" style="411" customWidth="1"/>
    <col min="8713" max="8713" width="24.28515625" style="411" customWidth="1"/>
    <col min="8714" max="8714" width="12.28515625" style="411" customWidth="1"/>
    <col min="8715" max="8715" width="11.28515625" style="411" customWidth="1"/>
    <col min="8716" max="8716" width="8.7109375" style="411" customWidth="1"/>
    <col min="8717" max="8717" width="10.7109375" style="411" customWidth="1"/>
    <col min="8718" max="8718" width="13" style="411" customWidth="1"/>
    <col min="8719" max="8960" width="9.28515625" style="411"/>
    <col min="8961" max="8961" width="6.42578125" style="411" customWidth="1"/>
    <col min="8962" max="8962" width="59" style="411" customWidth="1"/>
    <col min="8963" max="8963" width="21.7109375" style="411" customWidth="1"/>
    <col min="8964" max="8965" width="18.28515625" style="411" customWidth="1"/>
    <col min="8966" max="8966" width="19.28515625" style="411" customWidth="1"/>
    <col min="8967" max="8967" width="0" style="411" hidden="1" customWidth="1"/>
    <col min="8968" max="8968" width="23.5703125" style="411" customWidth="1"/>
    <col min="8969" max="8969" width="24.28515625" style="411" customWidth="1"/>
    <col min="8970" max="8970" width="12.28515625" style="411" customWidth="1"/>
    <col min="8971" max="8971" width="11.28515625" style="411" customWidth="1"/>
    <col min="8972" max="8972" width="8.7109375" style="411" customWidth="1"/>
    <col min="8973" max="8973" width="10.7109375" style="411" customWidth="1"/>
    <col min="8974" max="8974" width="13" style="411" customWidth="1"/>
    <col min="8975" max="9216" width="9.28515625" style="411"/>
    <col min="9217" max="9217" width="6.42578125" style="411" customWidth="1"/>
    <col min="9218" max="9218" width="59" style="411" customWidth="1"/>
    <col min="9219" max="9219" width="21.7109375" style="411" customWidth="1"/>
    <col min="9220" max="9221" width="18.28515625" style="411" customWidth="1"/>
    <col min="9222" max="9222" width="19.28515625" style="411" customWidth="1"/>
    <col min="9223" max="9223" width="0" style="411" hidden="1" customWidth="1"/>
    <col min="9224" max="9224" width="23.5703125" style="411" customWidth="1"/>
    <col min="9225" max="9225" width="24.28515625" style="411" customWidth="1"/>
    <col min="9226" max="9226" width="12.28515625" style="411" customWidth="1"/>
    <col min="9227" max="9227" width="11.28515625" style="411" customWidth="1"/>
    <col min="9228" max="9228" width="8.7109375" style="411" customWidth="1"/>
    <col min="9229" max="9229" width="10.7109375" style="411" customWidth="1"/>
    <col min="9230" max="9230" width="13" style="411" customWidth="1"/>
    <col min="9231" max="9472" width="9.28515625" style="411"/>
    <col min="9473" max="9473" width="6.42578125" style="411" customWidth="1"/>
    <col min="9474" max="9474" width="59" style="411" customWidth="1"/>
    <col min="9475" max="9475" width="21.7109375" style="411" customWidth="1"/>
    <col min="9476" max="9477" width="18.28515625" style="411" customWidth="1"/>
    <col min="9478" max="9478" width="19.28515625" style="411" customWidth="1"/>
    <col min="9479" max="9479" width="0" style="411" hidden="1" customWidth="1"/>
    <col min="9480" max="9480" width="23.5703125" style="411" customWidth="1"/>
    <col min="9481" max="9481" width="24.28515625" style="411" customWidth="1"/>
    <col min="9482" max="9482" width="12.28515625" style="411" customWidth="1"/>
    <col min="9483" max="9483" width="11.28515625" style="411" customWidth="1"/>
    <col min="9484" max="9484" width="8.7109375" style="411" customWidth="1"/>
    <col min="9485" max="9485" width="10.7109375" style="411" customWidth="1"/>
    <col min="9486" max="9486" width="13" style="411" customWidth="1"/>
    <col min="9487" max="9728" width="9.28515625" style="411"/>
    <col min="9729" max="9729" width="6.42578125" style="411" customWidth="1"/>
    <col min="9730" max="9730" width="59" style="411" customWidth="1"/>
    <col min="9731" max="9731" width="21.7109375" style="411" customWidth="1"/>
    <col min="9732" max="9733" width="18.28515625" style="411" customWidth="1"/>
    <col min="9734" max="9734" width="19.28515625" style="411" customWidth="1"/>
    <col min="9735" max="9735" width="0" style="411" hidden="1" customWidth="1"/>
    <col min="9736" max="9736" width="23.5703125" style="411" customWidth="1"/>
    <col min="9737" max="9737" width="24.28515625" style="411" customWidth="1"/>
    <col min="9738" max="9738" width="12.28515625" style="411" customWidth="1"/>
    <col min="9739" max="9739" width="11.28515625" style="411" customWidth="1"/>
    <col min="9740" max="9740" width="8.7109375" style="411" customWidth="1"/>
    <col min="9741" max="9741" width="10.7109375" style="411" customWidth="1"/>
    <col min="9742" max="9742" width="13" style="411" customWidth="1"/>
    <col min="9743" max="9984" width="9.28515625" style="411"/>
    <col min="9985" max="9985" width="6.42578125" style="411" customWidth="1"/>
    <col min="9986" max="9986" width="59" style="411" customWidth="1"/>
    <col min="9987" max="9987" width="21.7109375" style="411" customWidth="1"/>
    <col min="9988" max="9989" width="18.28515625" style="411" customWidth="1"/>
    <col min="9990" max="9990" width="19.28515625" style="411" customWidth="1"/>
    <col min="9991" max="9991" width="0" style="411" hidden="1" customWidth="1"/>
    <col min="9992" max="9992" width="23.5703125" style="411" customWidth="1"/>
    <col min="9993" max="9993" width="24.28515625" style="411" customWidth="1"/>
    <col min="9994" max="9994" width="12.28515625" style="411" customWidth="1"/>
    <col min="9995" max="9995" width="11.28515625" style="411" customWidth="1"/>
    <col min="9996" max="9996" width="8.7109375" style="411" customWidth="1"/>
    <col min="9997" max="9997" width="10.7109375" style="411" customWidth="1"/>
    <col min="9998" max="9998" width="13" style="411" customWidth="1"/>
    <col min="9999" max="10240" width="9.28515625" style="411"/>
    <col min="10241" max="10241" width="6.42578125" style="411" customWidth="1"/>
    <col min="10242" max="10242" width="59" style="411" customWidth="1"/>
    <col min="10243" max="10243" width="21.7109375" style="411" customWidth="1"/>
    <col min="10244" max="10245" width="18.28515625" style="411" customWidth="1"/>
    <col min="10246" max="10246" width="19.28515625" style="411" customWidth="1"/>
    <col min="10247" max="10247" width="0" style="411" hidden="1" customWidth="1"/>
    <col min="10248" max="10248" width="23.5703125" style="411" customWidth="1"/>
    <col min="10249" max="10249" width="24.28515625" style="411" customWidth="1"/>
    <col min="10250" max="10250" width="12.28515625" style="411" customWidth="1"/>
    <col min="10251" max="10251" width="11.28515625" style="411" customWidth="1"/>
    <col min="10252" max="10252" width="8.7109375" style="411" customWidth="1"/>
    <col min="10253" max="10253" width="10.7109375" style="411" customWidth="1"/>
    <col min="10254" max="10254" width="13" style="411" customWidth="1"/>
    <col min="10255" max="10496" width="9.28515625" style="411"/>
    <col min="10497" max="10497" width="6.42578125" style="411" customWidth="1"/>
    <col min="10498" max="10498" width="59" style="411" customWidth="1"/>
    <col min="10499" max="10499" width="21.7109375" style="411" customWidth="1"/>
    <col min="10500" max="10501" width="18.28515625" style="411" customWidth="1"/>
    <col min="10502" max="10502" width="19.28515625" style="411" customWidth="1"/>
    <col min="10503" max="10503" width="0" style="411" hidden="1" customWidth="1"/>
    <col min="10504" max="10504" width="23.5703125" style="411" customWidth="1"/>
    <col min="10505" max="10505" width="24.28515625" style="411" customWidth="1"/>
    <col min="10506" max="10506" width="12.28515625" style="411" customWidth="1"/>
    <col min="10507" max="10507" width="11.28515625" style="411" customWidth="1"/>
    <col min="10508" max="10508" width="8.7109375" style="411" customWidth="1"/>
    <col min="10509" max="10509" width="10.7109375" style="411" customWidth="1"/>
    <col min="10510" max="10510" width="13" style="411" customWidth="1"/>
    <col min="10511" max="10752" width="9.28515625" style="411"/>
    <col min="10753" max="10753" width="6.42578125" style="411" customWidth="1"/>
    <col min="10754" max="10754" width="59" style="411" customWidth="1"/>
    <col min="10755" max="10755" width="21.7109375" style="411" customWidth="1"/>
    <col min="10756" max="10757" width="18.28515625" style="411" customWidth="1"/>
    <col min="10758" max="10758" width="19.28515625" style="411" customWidth="1"/>
    <col min="10759" max="10759" width="0" style="411" hidden="1" customWidth="1"/>
    <col min="10760" max="10760" width="23.5703125" style="411" customWidth="1"/>
    <col min="10761" max="10761" width="24.28515625" style="411" customWidth="1"/>
    <col min="10762" max="10762" width="12.28515625" style="411" customWidth="1"/>
    <col min="10763" max="10763" width="11.28515625" style="411" customWidth="1"/>
    <col min="10764" max="10764" width="8.7109375" style="411" customWidth="1"/>
    <col min="10765" max="10765" width="10.7109375" style="411" customWidth="1"/>
    <col min="10766" max="10766" width="13" style="411" customWidth="1"/>
    <col min="10767" max="11008" width="9.28515625" style="411"/>
    <col min="11009" max="11009" width="6.42578125" style="411" customWidth="1"/>
    <col min="11010" max="11010" width="59" style="411" customWidth="1"/>
    <col min="11011" max="11011" width="21.7109375" style="411" customWidth="1"/>
    <col min="11012" max="11013" width="18.28515625" style="411" customWidth="1"/>
    <col min="11014" max="11014" width="19.28515625" style="411" customWidth="1"/>
    <col min="11015" max="11015" width="0" style="411" hidden="1" customWidth="1"/>
    <col min="11016" max="11016" width="23.5703125" style="411" customWidth="1"/>
    <col min="11017" max="11017" width="24.28515625" style="411" customWidth="1"/>
    <col min="11018" max="11018" width="12.28515625" style="411" customWidth="1"/>
    <col min="11019" max="11019" width="11.28515625" style="411" customWidth="1"/>
    <col min="11020" max="11020" width="8.7109375" style="411" customWidth="1"/>
    <col min="11021" max="11021" width="10.7109375" style="411" customWidth="1"/>
    <col min="11022" max="11022" width="13" style="411" customWidth="1"/>
    <col min="11023" max="11264" width="9.28515625" style="411"/>
    <col min="11265" max="11265" width="6.42578125" style="411" customWidth="1"/>
    <col min="11266" max="11266" width="59" style="411" customWidth="1"/>
    <col min="11267" max="11267" width="21.7109375" style="411" customWidth="1"/>
    <col min="11268" max="11269" width="18.28515625" style="411" customWidth="1"/>
    <col min="11270" max="11270" width="19.28515625" style="411" customWidth="1"/>
    <col min="11271" max="11271" width="0" style="411" hidden="1" customWidth="1"/>
    <col min="11272" max="11272" width="23.5703125" style="411" customWidth="1"/>
    <col min="11273" max="11273" width="24.28515625" style="411" customWidth="1"/>
    <col min="11274" max="11274" width="12.28515625" style="411" customWidth="1"/>
    <col min="11275" max="11275" width="11.28515625" style="411" customWidth="1"/>
    <col min="11276" max="11276" width="8.7109375" style="411" customWidth="1"/>
    <col min="11277" max="11277" width="10.7109375" style="411" customWidth="1"/>
    <col min="11278" max="11278" width="13" style="411" customWidth="1"/>
    <col min="11279" max="11520" width="9.28515625" style="411"/>
    <col min="11521" max="11521" width="6.42578125" style="411" customWidth="1"/>
    <col min="11522" max="11522" width="59" style="411" customWidth="1"/>
    <col min="11523" max="11523" width="21.7109375" style="411" customWidth="1"/>
    <col min="11524" max="11525" width="18.28515625" style="411" customWidth="1"/>
    <col min="11526" max="11526" width="19.28515625" style="411" customWidth="1"/>
    <col min="11527" max="11527" width="0" style="411" hidden="1" customWidth="1"/>
    <col min="11528" max="11528" width="23.5703125" style="411" customWidth="1"/>
    <col min="11529" max="11529" width="24.28515625" style="411" customWidth="1"/>
    <col min="11530" max="11530" width="12.28515625" style="411" customWidth="1"/>
    <col min="11531" max="11531" width="11.28515625" style="411" customWidth="1"/>
    <col min="11532" max="11532" width="8.7109375" style="411" customWidth="1"/>
    <col min="11533" max="11533" width="10.7109375" style="411" customWidth="1"/>
    <col min="11534" max="11534" width="13" style="411" customWidth="1"/>
    <col min="11535" max="11776" width="9.28515625" style="411"/>
    <col min="11777" max="11777" width="6.42578125" style="411" customWidth="1"/>
    <col min="11778" max="11778" width="59" style="411" customWidth="1"/>
    <col min="11779" max="11779" width="21.7109375" style="411" customWidth="1"/>
    <col min="11780" max="11781" width="18.28515625" style="411" customWidth="1"/>
    <col min="11782" max="11782" width="19.28515625" style="411" customWidth="1"/>
    <col min="11783" max="11783" width="0" style="411" hidden="1" customWidth="1"/>
    <col min="11784" max="11784" width="23.5703125" style="411" customWidth="1"/>
    <col min="11785" max="11785" width="24.28515625" style="411" customWidth="1"/>
    <col min="11786" max="11786" width="12.28515625" style="411" customWidth="1"/>
    <col min="11787" max="11787" width="11.28515625" style="411" customWidth="1"/>
    <col min="11788" max="11788" width="8.7109375" style="411" customWidth="1"/>
    <col min="11789" max="11789" width="10.7109375" style="411" customWidth="1"/>
    <col min="11790" max="11790" width="13" style="411" customWidth="1"/>
    <col min="11791" max="12032" width="9.28515625" style="411"/>
    <col min="12033" max="12033" width="6.42578125" style="411" customWidth="1"/>
    <col min="12034" max="12034" width="59" style="411" customWidth="1"/>
    <col min="12035" max="12035" width="21.7109375" style="411" customWidth="1"/>
    <col min="12036" max="12037" width="18.28515625" style="411" customWidth="1"/>
    <col min="12038" max="12038" width="19.28515625" style="411" customWidth="1"/>
    <col min="12039" max="12039" width="0" style="411" hidden="1" customWidth="1"/>
    <col min="12040" max="12040" width="23.5703125" style="411" customWidth="1"/>
    <col min="12041" max="12041" width="24.28515625" style="411" customWidth="1"/>
    <col min="12042" max="12042" width="12.28515625" style="411" customWidth="1"/>
    <col min="12043" max="12043" width="11.28515625" style="411" customWidth="1"/>
    <col min="12044" max="12044" width="8.7109375" style="411" customWidth="1"/>
    <col min="12045" max="12045" width="10.7109375" style="411" customWidth="1"/>
    <col min="12046" max="12046" width="13" style="411" customWidth="1"/>
    <col min="12047" max="12288" width="9.28515625" style="411"/>
    <col min="12289" max="12289" width="6.42578125" style="411" customWidth="1"/>
    <col min="12290" max="12290" width="59" style="411" customWidth="1"/>
    <col min="12291" max="12291" width="21.7109375" style="411" customWidth="1"/>
    <col min="12292" max="12293" width="18.28515625" style="411" customWidth="1"/>
    <col min="12294" max="12294" width="19.28515625" style="411" customWidth="1"/>
    <col min="12295" max="12295" width="0" style="411" hidden="1" customWidth="1"/>
    <col min="12296" max="12296" width="23.5703125" style="411" customWidth="1"/>
    <col min="12297" max="12297" width="24.28515625" style="411" customWidth="1"/>
    <col min="12298" max="12298" width="12.28515625" style="411" customWidth="1"/>
    <col min="12299" max="12299" width="11.28515625" style="411" customWidth="1"/>
    <col min="12300" max="12300" width="8.7109375" style="411" customWidth="1"/>
    <col min="12301" max="12301" width="10.7109375" style="411" customWidth="1"/>
    <col min="12302" max="12302" width="13" style="411" customWidth="1"/>
    <col min="12303" max="12544" width="9.28515625" style="411"/>
    <col min="12545" max="12545" width="6.42578125" style="411" customWidth="1"/>
    <col min="12546" max="12546" width="59" style="411" customWidth="1"/>
    <col min="12547" max="12547" width="21.7109375" style="411" customWidth="1"/>
    <col min="12548" max="12549" width="18.28515625" style="411" customWidth="1"/>
    <col min="12550" max="12550" width="19.28515625" style="411" customWidth="1"/>
    <col min="12551" max="12551" width="0" style="411" hidden="1" customWidth="1"/>
    <col min="12552" max="12552" width="23.5703125" style="411" customWidth="1"/>
    <col min="12553" max="12553" width="24.28515625" style="411" customWidth="1"/>
    <col min="12554" max="12554" width="12.28515625" style="411" customWidth="1"/>
    <col min="12555" max="12555" width="11.28515625" style="411" customWidth="1"/>
    <col min="12556" max="12556" width="8.7109375" style="411" customWidth="1"/>
    <col min="12557" max="12557" width="10.7109375" style="411" customWidth="1"/>
    <col min="12558" max="12558" width="13" style="411" customWidth="1"/>
    <col min="12559" max="12800" width="9.28515625" style="411"/>
    <col min="12801" max="12801" width="6.42578125" style="411" customWidth="1"/>
    <col min="12802" max="12802" width="59" style="411" customWidth="1"/>
    <col min="12803" max="12803" width="21.7109375" style="411" customWidth="1"/>
    <col min="12804" max="12805" width="18.28515625" style="411" customWidth="1"/>
    <col min="12806" max="12806" width="19.28515625" style="411" customWidth="1"/>
    <col min="12807" max="12807" width="0" style="411" hidden="1" customWidth="1"/>
    <col min="12808" max="12808" width="23.5703125" style="411" customWidth="1"/>
    <col min="12809" max="12809" width="24.28515625" style="411" customWidth="1"/>
    <col min="12810" max="12810" width="12.28515625" style="411" customWidth="1"/>
    <col min="12811" max="12811" width="11.28515625" style="411" customWidth="1"/>
    <col min="12812" max="12812" width="8.7109375" style="411" customWidth="1"/>
    <col min="12813" max="12813" width="10.7109375" style="411" customWidth="1"/>
    <col min="12814" max="12814" width="13" style="411" customWidth="1"/>
    <col min="12815" max="13056" width="9.28515625" style="411"/>
    <col min="13057" max="13057" width="6.42578125" style="411" customWidth="1"/>
    <col min="13058" max="13058" width="59" style="411" customWidth="1"/>
    <col min="13059" max="13059" width="21.7109375" style="411" customWidth="1"/>
    <col min="13060" max="13061" width="18.28515625" style="411" customWidth="1"/>
    <col min="13062" max="13062" width="19.28515625" style="411" customWidth="1"/>
    <col min="13063" max="13063" width="0" style="411" hidden="1" customWidth="1"/>
    <col min="13064" max="13064" width="23.5703125" style="411" customWidth="1"/>
    <col min="13065" max="13065" width="24.28515625" style="411" customWidth="1"/>
    <col min="13066" max="13066" width="12.28515625" style="411" customWidth="1"/>
    <col min="13067" max="13067" width="11.28515625" style="411" customWidth="1"/>
    <col min="13068" max="13068" width="8.7109375" style="411" customWidth="1"/>
    <col min="13069" max="13069" width="10.7109375" style="411" customWidth="1"/>
    <col min="13070" max="13070" width="13" style="411" customWidth="1"/>
    <col min="13071" max="13312" width="9.28515625" style="411"/>
    <col min="13313" max="13313" width="6.42578125" style="411" customWidth="1"/>
    <col min="13314" max="13314" width="59" style="411" customWidth="1"/>
    <col min="13315" max="13315" width="21.7109375" style="411" customWidth="1"/>
    <col min="13316" max="13317" width="18.28515625" style="411" customWidth="1"/>
    <col min="13318" max="13318" width="19.28515625" style="411" customWidth="1"/>
    <col min="13319" max="13319" width="0" style="411" hidden="1" customWidth="1"/>
    <col min="13320" max="13320" width="23.5703125" style="411" customWidth="1"/>
    <col min="13321" max="13321" width="24.28515625" style="411" customWidth="1"/>
    <col min="13322" max="13322" width="12.28515625" style="411" customWidth="1"/>
    <col min="13323" max="13323" width="11.28515625" style="411" customWidth="1"/>
    <col min="13324" max="13324" width="8.7109375" style="411" customWidth="1"/>
    <col min="13325" max="13325" width="10.7109375" style="411" customWidth="1"/>
    <col min="13326" max="13326" width="13" style="411" customWidth="1"/>
    <col min="13327" max="13568" width="9.28515625" style="411"/>
    <col min="13569" max="13569" width="6.42578125" style="411" customWidth="1"/>
    <col min="13570" max="13570" width="59" style="411" customWidth="1"/>
    <col min="13571" max="13571" width="21.7109375" style="411" customWidth="1"/>
    <col min="13572" max="13573" width="18.28515625" style="411" customWidth="1"/>
    <col min="13574" max="13574" width="19.28515625" style="411" customWidth="1"/>
    <col min="13575" max="13575" width="0" style="411" hidden="1" customWidth="1"/>
    <col min="13576" max="13576" width="23.5703125" style="411" customWidth="1"/>
    <col min="13577" max="13577" width="24.28515625" style="411" customWidth="1"/>
    <col min="13578" max="13578" width="12.28515625" style="411" customWidth="1"/>
    <col min="13579" max="13579" width="11.28515625" style="411" customWidth="1"/>
    <col min="13580" max="13580" width="8.7109375" style="411" customWidth="1"/>
    <col min="13581" max="13581" width="10.7109375" style="411" customWidth="1"/>
    <col min="13582" max="13582" width="13" style="411" customWidth="1"/>
    <col min="13583" max="13824" width="9.28515625" style="411"/>
    <col min="13825" max="13825" width="6.42578125" style="411" customWidth="1"/>
    <col min="13826" max="13826" width="59" style="411" customWidth="1"/>
    <col min="13827" max="13827" width="21.7109375" style="411" customWidth="1"/>
    <col min="13828" max="13829" width="18.28515625" style="411" customWidth="1"/>
    <col min="13830" max="13830" width="19.28515625" style="411" customWidth="1"/>
    <col min="13831" max="13831" width="0" style="411" hidden="1" customWidth="1"/>
    <col min="13832" max="13832" width="23.5703125" style="411" customWidth="1"/>
    <col min="13833" max="13833" width="24.28515625" style="411" customWidth="1"/>
    <col min="13834" max="13834" width="12.28515625" style="411" customWidth="1"/>
    <col min="13835" max="13835" width="11.28515625" style="411" customWidth="1"/>
    <col min="13836" max="13836" width="8.7109375" style="411" customWidth="1"/>
    <col min="13837" max="13837" width="10.7109375" style="411" customWidth="1"/>
    <col min="13838" max="13838" width="13" style="411" customWidth="1"/>
    <col min="13839" max="14080" width="9.28515625" style="411"/>
    <col min="14081" max="14081" width="6.42578125" style="411" customWidth="1"/>
    <col min="14082" max="14082" width="59" style="411" customWidth="1"/>
    <col min="14083" max="14083" width="21.7109375" style="411" customWidth="1"/>
    <col min="14084" max="14085" width="18.28515625" style="411" customWidth="1"/>
    <col min="14086" max="14086" width="19.28515625" style="411" customWidth="1"/>
    <col min="14087" max="14087" width="0" style="411" hidden="1" customWidth="1"/>
    <col min="14088" max="14088" width="23.5703125" style="411" customWidth="1"/>
    <col min="14089" max="14089" width="24.28515625" style="411" customWidth="1"/>
    <col min="14090" max="14090" width="12.28515625" style="411" customWidth="1"/>
    <col min="14091" max="14091" width="11.28515625" style="411" customWidth="1"/>
    <col min="14092" max="14092" width="8.7109375" style="411" customWidth="1"/>
    <col min="14093" max="14093" width="10.7109375" style="411" customWidth="1"/>
    <col min="14094" max="14094" width="13" style="411" customWidth="1"/>
    <col min="14095" max="14336" width="9.28515625" style="411"/>
    <col min="14337" max="14337" width="6.42578125" style="411" customWidth="1"/>
    <col min="14338" max="14338" width="59" style="411" customWidth="1"/>
    <col min="14339" max="14339" width="21.7109375" style="411" customWidth="1"/>
    <col min="14340" max="14341" width="18.28515625" style="411" customWidth="1"/>
    <col min="14342" max="14342" width="19.28515625" style="411" customWidth="1"/>
    <col min="14343" max="14343" width="0" style="411" hidden="1" customWidth="1"/>
    <col min="14344" max="14344" width="23.5703125" style="411" customWidth="1"/>
    <col min="14345" max="14345" width="24.28515625" style="411" customWidth="1"/>
    <col min="14346" max="14346" width="12.28515625" style="411" customWidth="1"/>
    <col min="14347" max="14347" width="11.28515625" style="411" customWidth="1"/>
    <col min="14348" max="14348" width="8.7109375" style="411" customWidth="1"/>
    <col min="14349" max="14349" width="10.7109375" style="411" customWidth="1"/>
    <col min="14350" max="14350" width="13" style="411" customWidth="1"/>
    <col min="14351" max="14592" width="9.28515625" style="411"/>
    <col min="14593" max="14593" width="6.42578125" style="411" customWidth="1"/>
    <col min="14594" max="14594" width="59" style="411" customWidth="1"/>
    <col min="14595" max="14595" width="21.7109375" style="411" customWidth="1"/>
    <col min="14596" max="14597" width="18.28515625" style="411" customWidth="1"/>
    <col min="14598" max="14598" width="19.28515625" style="411" customWidth="1"/>
    <col min="14599" max="14599" width="0" style="411" hidden="1" customWidth="1"/>
    <col min="14600" max="14600" width="23.5703125" style="411" customWidth="1"/>
    <col min="14601" max="14601" width="24.28515625" style="411" customWidth="1"/>
    <col min="14602" max="14602" width="12.28515625" style="411" customWidth="1"/>
    <col min="14603" max="14603" width="11.28515625" style="411" customWidth="1"/>
    <col min="14604" max="14604" width="8.7109375" style="411" customWidth="1"/>
    <col min="14605" max="14605" width="10.7109375" style="411" customWidth="1"/>
    <col min="14606" max="14606" width="13" style="411" customWidth="1"/>
    <col min="14607" max="14848" width="9.28515625" style="411"/>
    <col min="14849" max="14849" width="6.42578125" style="411" customWidth="1"/>
    <col min="14850" max="14850" width="59" style="411" customWidth="1"/>
    <col min="14851" max="14851" width="21.7109375" style="411" customWidth="1"/>
    <col min="14852" max="14853" width="18.28515625" style="411" customWidth="1"/>
    <col min="14854" max="14854" width="19.28515625" style="411" customWidth="1"/>
    <col min="14855" max="14855" width="0" style="411" hidden="1" customWidth="1"/>
    <col min="14856" max="14856" width="23.5703125" style="411" customWidth="1"/>
    <col min="14857" max="14857" width="24.28515625" style="411" customWidth="1"/>
    <col min="14858" max="14858" width="12.28515625" style="411" customWidth="1"/>
    <col min="14859" max="14859" width="11.28515625" style="411" customWidth="1"/>
    <col min="14860" max="14860" width="8.7109375" style="411" customWidth="1"/>
    <col min="14861" max="14861" width="10.7109375" style="411" customWidth="1"/>
    <col min="14862" max="14862" width="13" style="411" customWidth="1"/>
    <col min="14863" max="15104" width="9.28515625" style="411"/>
    <col min="15105" max="15105" width="6.42578125" style="411" customWidth="1"/>
    <col min="15106" max="15106" width="59" style="411" customWidth="1"/>
    <col min="15107" max="15107" width="21.7109375" style="411" customWidth="1"/>
    <col min="15108" max="15109" width="18.28515625" style="411" customWidth="1"/>
    <col min="15110" max="15110" width="19.28515625" style="411" customWidth="1"/>
    <col min="15111" max="15111" width="0" style="411" hidden="1" customWidth="1"/>
    <col min="15112" max="15112" width="23.5703125" style="411" customWidth="1"/>
    <col min="15113" max="15113" width="24.28515625" style="411" customWidth="1"/>
    <col min="15114" max="15114" width="12.28515625" style="411" customWidth="1"/>
    <col min="15115" max="15115" width="11.28515625" style="411" customWidth="1"/>
    <col min="15116" max="15116" width="8.7109375" style="411" customWidth="1"/>
    <col min="15117" max="15117" width="10.7109375" style="411" customWidth="1"/>
    <col min="15118" max="15118" width="13" style="411" customWidth="1"/>
    <col min="15119" max="15360" width="9.28515625" style="411"/>
    <col min="15361" max="15361" width="6.42578125" style="411" customWidth="1"/>
    <col min="15362" max="15362" width="59" style="411" customWidth="1"/>
    <col min="15363" max="15363" width="21.7109375" style="411" customWidth="1"/>
    <col min="15364" max="15365" width="18.28515625" style="411" customWidth="1"/>
    <col min="15366" max="15366" width="19.28515625" style="411" customWidth="1"/>
    <col min="15367" max="15367" width="0" style="411" hidden="1" customWidth="1"/>
    <col min="15368" max="15368" width="23.5703125" style="411" customWidth="1"/>
    <col min="15369" max="15369" width="24.28515625" style="411" customWidth="1"/>
    <col min="15370" max="15370" width="12.28515625" style="411" customWidth="1"/>
    <col min="15371" max="15371" width="11.28515625" style="411" customWidth="1"/>
    <col min="15372" max="15372" width="8.7109375" style="411" customWidth="1"/>
    <col min="15373" max="15373" width="10.7109375" style="411" customWidth="1"/>
    <col min="15374" max="15374" width="13" style="411" customWidth="1"/>
    <col min="15375" max="15616" width="9.28515625" style="411"/>
    <col min="15617" max="15617" width="6.42578125" style="411" customWidth="1"/>
    <col min="15618" max="15618" width="59" style="411" customWidth="1"/>
    <col min="15619" max="15619" width="21.7109375" style="411" customWidth="1"/>
    <col min="15620" max="15621" width="18.28515625" style="411" customWidth="1"/>
    <col min="15622" max="15622" width="19.28515625" style="411" customWidth="1"/>
    <col min="15623" max="15623" width="0" style="411" hidden="1" customWidth="1"/>
    <col min="15624" max="15624" width="23.5703125" style="411" customWidth="1"/>
    <col min="15625" max="15625" width="24.28515625" style="411" customWidth="1"/>
    <col min="15626" max="15626" width="12.28515625" style="411" customWidth="1"/>
    <col min="15627" max="15627" width="11.28515625" style="411" customWidth="1"/>
    <col min="15628" max="15628" width="8.7109375" style="411" customWidth="1"/>
    <col min="15629" max="15629" width="10.7109375" style="411" customWidth="1"/>
    <col min="15630" max="15630" width="13" style="411" customWidth="1"/>
    <col min="15631" max="15872" width="9.28515625" style="411"/>
    <col min="15873" max="15873" width="6.42578125" style="411" customWidth="1"/>
    <col min="15874" max="15874" width="59" style="411" customWidth="1"/>
    <col min="15875" max="15875" width="21.7109375" style="411" customWidth="1"/>
    <col min="15876" max="15877" width="18.28515625" style="411" customWidth="1"/>
    <col min="15878" max="15878" width="19.28515625" style="411" customWidth="1"/>
    <col min="15879" max="15879" width="0" style="411" hidden="1" customWidth="1"/>
    <col min="15880" max="15880" width="23.5703125" style="411" customWidth="1"/>
    <col min="15881" max="15881" width="24.28515625" style="411" customWidth="1"/>
    <col min="15882" max="15882" width="12.28515625" style="411" customWidth="1"/>
    <col min="15883" max="15883" width="11.28515625" style="411" customWidth="1"/>
    <col min="15884" max="15884" width="8.7109375" style="411" customWidth="1"/>
    <col min="15885" max="15885" width="10.7109375" style="411" customWidth="1"/>
    <col min="15886" max="15886" width="13" style="411" customWidth="1"/>
    <col min="15887" max="16128" width="9.28515625" style="411"/>
    <col min="16129" max="16129" width="6.42578125" style="411" customWidth="1"/>
    <col min="16130" max="16130" width="59" style="411" customWidth="1"/>
    <col min="16131" max="16131" width="21.7109375" style="411" customWidth="1"/>
    <col min="16132" max="16133" width="18.28515625" style="411" customWidth="1"/>
    <col min="16134" max="16134" width="19.28515625" style="411" customWidth="1"/>
    <col min="16135" max="16135" width="0" style="411" hidden="1" customWidth="1"/>
    <col min="16136" max="16136" width="23.5703125" style="411" customWidth="1"/>
    <col min="16137" max="16137" width="24.28515625" style="411" customWidth="1"/>
    <col min="16138" max="16138" width="12.28515625" style="411" customWidth="1"/>
    <col min="16139" max="16139" width="11.28515625" style="411" customWidth="1"/>
    <col min="16140" max="16140" width="8.7109375" style="411" customWidth="1"/>
    <col min="16141" max="16141" width="10.7109375" style="411" customWidth="1"/>
    <col min="16142" max="16142" width="13" style="411" customWidth="1"/>
    <col min="16143" max="16384" width="9.28515625" style="411"/>
  </cols>
  <sheetData>
    <row r="1" spans="1:14" ht="20.25" customHeight="1">
      <c r="E1" s="1848" t="s">
        <v>927</v>
      </c>
      <c r="F1" s="1848"/>
    </row>
    <row r="2" spans="1:14" ht="32.25" customHeight="1">
      <c r="A2" s="1846" t="s">
        <v>954</v>
      </c>
      <c r="B2" s="1846"/>
      <c r="C2" s="1846"/>
      <c r="D2" s="1846"/>
      <c r="E2" s="1846"/>
      <c r="F2" s="1846"/>
    </row>
    <row r="3" spans="1:14" ht="15" customHeight="1">
      <c r="D3" s="1849" t="s">
        <v>216</v>
      </c>
      <c r="E3" s="1849"/>
      <c r="F3" s="1849"/>
    </row>
    <row r="4" spans="1:14" s="420" customFormat="1" ht="42" customHeight="1">
      <c r="A4" s="417" t="s">
        <v>313</v>
      </c>
      <c r="B4" s="417" t="s">
        <v>468</v>
      </c>
      <c r="C4" s="417" t="s">
        <v>768</v>
      </c>
      <c r="D4" s="417" t="s">
        <v>769</v>
      </c>
      <c r="E4" s="418" t="s">
        <v>770</v>
      </c>
      <c r="F4" s="431" t="s">
        <v>771</v>
      </c>
      <c r="G4" s="432"/>
      <c r="K4" s="828"/>
      <c r="L4" s="828"/>
      <c r="M4" s="820"/>
      <c r="N4" s="828"/>
    </row>
    <row r="5" spans="1:14" s="805" customFormat="1" ht="22.5" customHeight="1">
      <c r="A5" s="810" t="s">
        <v>316</v>
      </c>
      <c r="B5" s="810" t="s">
        <v>317</v>
      </c>
      <c r="C5" s="810" t="s">
        <v>246</v>
      </c>
      <c r="D5" s="810" t="s">
        <v>403</v>
      </c>
      <c r="E5" s="811">
        <v>1</v>
      </c>
      <c r="F5" s="810">
        <v>2</v>
      </c>
      <c r="G5" s="812"/>
      <c r="K5" s="821"/>
      <c r="L5" s="821"/>
      <c r="M5" s="821"/>
      <c r="N5" s="821"/>
    </row>
    <row r="6" spans="1:14" s="437" customFormat="1" ht="32.25" customHeight="1">
      <c r="A6" s="433" t="s">
        <v>316</v>
      </c>
      <c r="B6" s="434" t="s">
        <v>772</v>
      </c>
      <c r="C6" s="434"/>
      <c r="D6" s="434"/>
      <c r="E6" s="679">
        <f>SUM(E7:E8)</f>
        <v>12061.705203000001</v>
      </c>
      <c r="F6" s="680"/>
      <c r="G6" s="436">
        <f>+E6-F23</f>
        <v>11722.487635000001</v>
      </c>
      <c r="H6" s="677">
        <v>12061.704352999999</v>
      </c>
      <c r="I6" s="678">
        <f>+E6-H6</f>
        <v>8.5000000217405614E-4</v>
      </c>
      <c r="K6" s="829"/>
      <c r="L6" s="829"/>
      <c r="M6" s="822"/>
      <c r="N6" s="829"/>
    </row>
    <row r="7" spans="1:14" s="442" customFormat="1" ht="45">
      <c r="A7" s="438" t="s">
        <v>464</v>
      </c>
      <c r="B7" s="439" t="s">
        <v>773</v>
      </c>
      <c r="C7" s="440"/>
      <c r="D7" s="424" t="s">
        <v>774</v>
      </c>
      <c r="E7" s="681">
        <v>5075.4802140000002</v>
      </c>
      <c r="F7" s="682"/>
      <c r="G7" s="441">
        <v>5075.4802140000002</v>
      </c>
      <c r="H7" s="448" t="e">
        <f>+#REF!</f>
        <v>#REF!</v>
      </c>
      <c r="K7" s="830"/>
      <c r="L7" s="830"/>
      <c r="M7" s="823"/>
      <c r="N7" s="830"/>
    </row>
    <row r="8" spans="1:14" s="442" customFormat="1" ht="22.5" customHeight="1">
      <c r="A8" s="438" t="s">
        <v>291</v>
      </c>
      <c r="B8" s="440" t="s">
        <v>775</v>
      </c>
      <c r="C8" s="443"/>
      <c r="D8" s="444"/>
      <c r="E8" s="681">
        <v>6986.2249890000003</v>
      </c>
      <c r="F8" s="682"/>
      <c r="G8" s="441">
        <v>6986.2241389999999</v>
      </c>
      <c r="H8" s="673">
        <f>+E8-G8</f>
        <v>8.5000000035506673E-4</v>
      </c>
      <c r="I8" s="448">
        <f>+E8-H8</f>
        <v>6986.2241389999999</v>
      </c>
      <c r="K8" s="830"/>
      <c r="L8" s="830"/>
      <c r="M8" s="823"/>
      <c r="N8" s="830"/>
    </row>
    <row r="9" spans="1:14" s="442" customFormat="1" ht="27" customHeight="1">
      <c r="A9" s="445" t="s">
        <v>317</v>
      </c>
      <c r="B9" s="446" t="s">
        <v>776</v>
      </c>
      <c r="C9" s="447"/>
      <c r="D9" s="433"/>
      <c r="E9" s="679">
        <f>+E10+E16</f>
        <v>8965.4802139999993</v>
      </c>
      <c r="F9" s="679">
        <f>+F10+F16</f>
        <v>7535.4441630000001</v>
      </c>
      <c r="G9" s="435">
        <f>+G10+G16</f>
        <v>7196.1728612139996</v>
      </c>
      <c r="H9" s="448">
        <v>7196.2265950000001</v>
      </c>
      <c r="I9" s="448">
        <f>+H9-G9</f>
        <v>5.3733786000520922E-2</v>
      </c>
      <c r="K9" s="830"/>
      <c r="L9" s="830"/>
      <c r="M9" s="823"/>
      <c r="N9" s="830"/>
    </row>
    <row r="10" spans="1:14" s="442" customFormat="1" ht="34.5" customHeight="1">
      <c r="A10" s="449" t="s">
        <v>464</v>
      </c>
      <c r="B10" s="450" t="s">
        <v>955</v>
      </c>
      <c r="C10" s="451"/>
      <c r="D10" s="1850" t="s">
        <v>777</v>
      </c>
      <c r="E10" s="683">
        <f>SUM(E11:E15)</f>
        <v>5075.4802140000002</v>
      </c>
      <c r="F10" s="683">
        <f>SUM(F11:F15)</f>
        <v>3756.7265949999996</v>
      </c>
      <c r="G10" s="452">
        <f>SUM(G11:G15)</f>
        <v>3756.6728612139996</v>
      </c>
      <c r="H10" s="674">
        <f>+F10-F14-F15+F16-F23</f>
        <v>6852.5625949999994</v>
      </c>
      <c r="I10" s="442">
        <v>6852.5625950000003</v>
      </c>
      <c r="J10" s="674">
        <f>+H10-I10</f>
        <v>0</v>
      </c>
      <c r="K10" s="830"/>
      <c r="L10" s="830"/>
      <c r="M10" s="823"/>
      <c r="N10" s="830"/>
    </row>
    <row r="11" spans="1:14" s="442" customFormat="1" ht="38.25" customHeight="1">
      <c r="A11" s="453"/>
      <c r="B11" s="454" t="s">
        <v>730</v>
      </c>
      <c r="C11" s="1852" t="s">
        <v>778</v>
      </c>
      <c r="D11" s="1850"/>
      <c r="E11" s="683">
        <v>1840</v>
      </c>
      <c r="F11" s="683">
        <f>+E11-I11</f>
        <v>1340.5823809999999</v>
      </c>
      <c r="G11" s="455">
        <v>1340.5283810000001</v>
      </c>
      <c r="H11" s="676">
        <f>+E11-F11</f>
        <v>499.41761900000006</v>
      </c>
      <c r="I11" s="442">
        <v>499.417619</v>
      </c>
      <c r="K11" s="830"/>
      <c r="L11" s="830"/>
      <c r="M11" s="823"/>
      <c r="N11" s="830"/>
    </row>
    <row r="12" spans="1:14" s="442" customFormat="1" ht="38.25" customHeight="1">
      <c r="A12" s="453"/>
      <c r="B12" s="454" t="s">
        <v>678</v>
      </c>
      <c r="C12" s="1850"/>
      <c r="D12" s="1850"/>
      <c r="E12" s="683">
        <v>1935.4802139999999</v>
      </c>
      <c r="F12" s="683">
        <f>+E12-I12</f>
        <v>1172.4802139999999</v>
      </c>
      <c r="G12" s="455">
        <v>1172.480480214</v>
      </c>
      <c r="H12" s="676">
        <f>+E12-F12</f>
        <v>763</v>
      </c>
      <c r="I12" s="675">
        <v>763</v>
      </c>
      <c r="J12" s="448">
        <f>+I12-H12</f>
        <v>0</v>
      </c>
      <c r="K12" s="830"/>
      <c r="L12" s="830"/>
      <c r="M12" s="823"/>
      <c r="N12" s="830"/>
    </row>
    <row r="13" spans="1:14" s="442" customFormat="1" ht="38.25" customHeight="1">
      <c r="A13" s="453"/>
      <c r="B13" s="454" t="s">
        <v>779</v>
      </c>
      <c r="C13" s="1851"/>
      <c r="D13" s="1851"/>
      <c r="E13" s="683">
        <v>900</v>
      </c>
      <c r="F13" s="683">
        <v>900</v>
      </c>
      <c r="G13" s="455">
        <f>+F13</f>
        <v>900</v>
      </c>
      <c r="H13" s="448">
        <f>+E13-F13</f>
        <v>0</v>
      </c>
      <c r="K13" s="830"/>
      <c r="L13" s="830"/>
      <c r="M13" s="823"/>
      <c r="N13" s="830"/>
    </row>
    <row r="14" spans="1:14" s="442" customFormat="1" ht="54" customHeight="1">
      <c r="A14" s="453"/>
      <c r="B14" s="399" t="s">
        <v>738</v>
      </c>
      <c r="C14" s="1852" t="s">
        <v>780</v>
      </c>
      <c r="D14" s="453" t="s">
        <v>781</v>
      </c>
      <c r="E14" s="683">
        <v>200</v>
      </c>
      <c r="F14" s="683">
        <v>171.83199999999999</v>
      </c>
      <c r="G14" s="455">
        <f>+F14</f>
        <v>171.83199999999999</v>
      </c>
      <c r="H14" s="448">
        <f>+E14-F14</f>
        <v>28.168000000000006</v>
      </c>
      <c r="K14" s="830"/>
      <c r="L14" s="830"/>
      <c r="M14" s="823"/>
      <c r="N14" s="830"/>
    </row>
    <row r="15" spans="1:14" s="442" customFormat="1" ht="54" customHeight="1">
      <c r="A15" s="453"/>
      <c r="B15" s="399" t="s">
        <v>782</v>
      </c>
      <c r="C15" s="1851"/>
      <c r="D15" s="453" t="s">
        <v>783</v>
      </c>
      <c r="E15" s="683">
        <v>200</v>
      </c>
      <c r="F15" s="683">
        <v>171.83199999999999</v>
      </c>
      <c r="G15" s="455">
        <f>+F15</f>
        <v>171.83199999999999</v>
      </c>
      <c r="H15" s="448">
        <f>+E15-F15</f>
        <v>28.168000000000006</v>
      </c>
      <c r="K15" s="830"/>
      <c r="L15" s="830"/>
      <c r="M15" s="823"/>
      <c r="N15" s="830"/>
    </row>
    <row r="16" spans="1:14" s="442" customFormat="1" ht="27.75" customHeight="1">
      <c r="A16" s="456" t="s">
        <v>291</v>
      </c>
      <c r="B16" s="457" t="s">
        <v>784</v>
      </c>
      <c r="C16" s="458"/>
      <c r="D16" s="459"/>
      <c r="E16" s="684">
        <f>+E17+E23</f>
        <v>3890</v>
      </c>
      <c r="F16" s="684">
        <f>+F17+F23</f>
        <v>3778.717568</v>
      </c>
      <c r="G16" s="460">
        <f>+G17+G23</f>
        <v>3439.5</v>
      </c>
      <c r="H16" s="448"/>
      <c r="I16" s="448">
        <f>+F17+F13+F12+F11</f>
        <v>6852.5625950000003</v>
      </c>
      <c r="K16" s="830"/>
      <c r="L16" s="830"/>
      <c r="M16" s="823"/>
      <c r="N16" s="830"/>
    </row>
    <row r="17" spans="1:14" s="442" customFormat="1" ht="27.75" customHeight="1">
      <c r="A17" s="456" t="s">
        <v>244</v>
      </c>
      <c r="B17" s="457" t="s">
        <v>61</v>
      </c>
      <c r="C17" s="458"/>
      <c r="D17" s="459"/>
      <c r="E17" s="684">
        <f>SUM(E18:E22)</f>
        <v>3439.5</v>
      </c>
      <c r="F17" s="684">
        <f>SUM(F18:F22)</f>
        <v>3439.5</v>
      </c>
      <c r="G17" s="461">
        <f>+F17</f>
        <v>3439.5</v>
      </c>
      <c r="I17" s="448">
        <f>+I16+F15+F14</f>
        <v>7196.226595000001</v>
      </c>
      <c r="K17" s="830"/>
      <c r="L17" s="830"/>
      <c r="M17" s="823"/>
      <c r="N17" s="830"/>
    </row>
    <row r="18" spans="1:14" s="442" customFormat="1" ht="39.75" customHeight="1">
      <c r="A18" s="398">
        <v>1</v>
      </c>
      <c r="B18" s="183" t="s">
        <v>562</v>
      </c>
      <c r="C18" s="1852" t="s">
        <v>751</v>
      </c>
      <c r="D18" s="1853" t="s">
        <v>777</v>
      </c>
      <c r="E18" s="685">
        <v>500</v>
      </c>
      <c r="F18" s="685">
        <v>500</v>
      </c>
      <c r="G18" s="462"/>
      <c r="K18" s="830"/>
      <c r="L18" s="830"/>
      <c r="M18" s="823"/>
      <c r="N18" s="830"/>
    </row>
    <row r="19" spans="1:14" s="442" customFormat="1" ht="31.5">
      <c r="A19" s="398">
        <v>2</v>
      </c>
      <c r="B19" s="183" t="s">
        <v>563</v>
      </c>
      <c r="C19" s="1850"/>
      <c r="D19" s="1854"/>
      <c r="E19" s="685">
        <v>1028.6940999999999</v>
      </c>
      <c r="F19" s="685">
        <f>+E19</f>
        <v>1028.6940999999999</v>
      </c>
      <c r="G19" s="462"/>
      <c r="K19" s="830"/>
      <c r="L19" s="830"/>
      <c r="M19" s="823"/>
      <c r="N19" s="830"/>
    </row>
    <row r="20" spans="1:14" s="442" customFormat="1" ht="36" customHeight="1">
      <c r="A20" s="398">
        <v>3</v>
      </c>
      <c r="B20" s="183" t="s">
        <v>564</v>
      </c>
      <c r="C20" s="1850"/>
      <c r="D20" s="1854"/>
      <c r="E20" s="685">
        <v>490.74290000000002</v>
      </c>
      <c r="F20" s="685">
        <v>490.74290000000002</v>
      </c>
      <c r="G20" s="462"/>
      <c r="K20" s="830"/>
      <c r="L20" s="830"/>
      <c r="M20" s="823"/>
      <c r="N20" s="830"/>
    </row>
    <row r="21" spans="1:14" s="442" customFormat="1" ht="36" customHeight="1">
      <c r="A21" s="398">
        <v>4</v>
      </c>
      <c r="B21" s="463" t="s">
        <v>785</v>
      </c>
      <c r="C21" s="1850"/>
      <c r="D21" s="1854"/>
      <c r="E21" s="685">
        <v>800</v>
      </c>
      <c r="F21" s="685">
        <v>800</v>
      </c>
      <c r="G21" s="462"/>
      <c r="K21" s="830"/>
      <c r="L21" s="830"/>
      <c r="M21" s="823"/>
      <c r="N21" s="830"/>
    </row>
    <row r="22" spans="1:14" s="442" customFormat="1" ht="42" customHeight="1">
      <c r="A22" s="398">
        <v>5</v>
      </c>
      <c r="B22" s="183" t="s">
        <v>644</v>
      </c>
      <c r="C22" s="1851"/>
      <c r="D22" s="1855"/>
      <c r="E22" s="685">
        <v>620.06299999999999</v>
      </c>
      <c r="F22" s="685">
        <v>620.06299999999999</v>
      </c>
      <c r="G22" s="462"/>
      <c r="K22" s="830"/>
      <c r="L22" s="830"/>
      <c r="M22" s="823"/>
      <c r="N22" s="830"/>
    </row>
    <row r="23" spans="1:14" s="442" customFormat="1" ht="22.5" customHeight="1">
      <c r="A23" s="456" t="s">
        <v>245</v>
      </c>
      <c r="B23" s="464" t="s">
        <v>786</v>
      </c>
      <c r="C23" s="465"/>
      <c r="D23" s="453"/>
      <c r="E23" s="684">
        <f>SUM(E24:E25)</f>
        <v>450.5</v>
      </c>
      <c r="F23" s="684">
        <f>SUM(F24:F25)</f>
        <v>339.21756800000003</v>
      </c>
      <c r="G23" s="461"/>
      <c r="H23" s="448"/>
      <c r="K23" s="830"/>
      <c r="L23" s="830"/>
      <c r="M23" s="823"/>
      <c r="N23" s="830"/>
    </row>
    <row r="24" spans="1:14" s="442" customFormat="1" ht="22.5" customHeight="1">
      <c r="A24" s="453" t="s">
        <v>62</v>
      </c>
      <c r="B24" s="466" t="s">
        <v>787</v>
      </c>
      <c r="C24" s="467"/>
      <c r="D24" s="1856" t="s">
        <v>788</v>
      </c>
      <c r="E24" s="686">
        <v>250.5</v>
      </c>
      <c r="F24" s="686">
        <f>+E24</f>
        <v>250.5</v>
      </c>
      <c r="G24" s="468"/>
      <c r="K24" s="830"/>
      <c r="L24" s="830"/>
      <c r="M24" s="823"/>
      <c r="N24" s="830"/>
    </row>
    <row r="25" spans="1:14" s="442" customFormat="1" ht="22.5" customHeight="1">
      <c r="A25" s="453" t="s">
        <v>62</v>
      </c>
      <c r="B25" s="466" t="s">
        <v>789</v>
      </c>
      <c r="C25" s="467"/>
      <c r="D25" s="1856"/>
      <c r="E25" s="686">
        <v>200</v>
      </c>
      <c r="F25" s="686">
        <v>88.717568</v>
      </c>
      <c r="G25" s="468"/>
      <c r="K25" s="830"/>
      <c r="L25" s="830"/>
      <c r="M25" s="823"/>
      <c r="N25" s="830"/>
    </row>
    <row r="26" spans="1:14" s="474" customFormat="1" ht="22.5" customHeight="1">
      <c r="A26" s="469" t="s">
        <v>246</v>
      </c>
      <c r="B26" s="470" t="s">
        <v>790</v>
      </c>
      <c r="C26" s="470"/>
      <c r="D26" s="470"/>
      <c r="E26" s="687">
        <f>+E6-F9</f>
        <v>4526.2610400000012</v>
      </c>
      <c r="F26" s="688"/>
      <c r="G26" s="471"/>
      <c r="H26" s="472"/>
      <c r="I26" s="473"/>
      <c r="K26" s="831"/>
      <c r="L26" s="831"/>
      <c r="M26" s="824"/>
      <c r="N26" s="832"/>
    </row>
    <row r="27" spans="1:14" s="442" customFormat="1" ht="22.5" customHeight="1">
      <c r="A27" s="475">
        <v>1</v>
      </c>
      <c r="B27" s="476" t="s">
        <v>791</v>
      </c>
      <c r="C27" s="476"/>
      <c r="D27" s="476"/>
      <c r="E27" s="668">
        <v>3153.843421</v>
      </c>
      <c r="F27" s="686"/>
      <c r="G27" s="477"/>
      <c r="H27" s="478"/>
      <c r="K27" s="833"/>
      <c r="L27" s="833"/>
      <c r="M27" s="824"/>
      <c r="N27" s="830"/>
    </row>
    <row r="28" spans="1:14" s="442" customFormat="1" ht="22.5" customHeight="1">
      <c r="A28" s="479">
        <v>2</v>
      </c>
      <c r="B28" s="480" t="s">
        <v>792</v>
      </c>
      <c r="C28" s="480"/>
      <c r="D28" s="480"/>
      <c r="E28" s="669">
        <f>+E26-E27-E29</f>
        <v>1262.4176190000012</v>
      </c>
      <c r="F28" s="689"/>
      <c r="G28" s="477"/>
      <c r="H28" s="478"/>
      <c r="K28" s="833"/>
      <c r="L28" s="833"/>
      <c r="M28" s="824"/>
      <c r="N28" s="830"/>
    </row>
    <row r="29" spans="1:14" s="442" customFormat="1" ht="22.5" customHeight="1">
      <c r="A29" s="481">
        <v>3</v>
      </c>
      <c r="B29" s="482" t="s">
        <v>793</v>
      </c>
      <c r="C29" s="482"/>
      <c r="D29" s="482"/>
      <c r="E29" s="670">
        <v>110</v>
      </c>
      <c r="F29" s="690"/>
      <c r="G29" s="477"/>
      <c r="H29" s="478"/>
      <c r="K29" s="833"/>
      <c r="L29" s="833"/>
      <c r="M29" s="824"/>
      <c r="N29" s="830"/>
    </row>
    <row r="30" spans="1:14" s="420" customFormat="1" ht="15.75">
      <c r="A30" s="396"/>
      <c r="B30" s="28"/>
      <c r="C30" s="1667" t="s">
        <v>741</v>
      </c>
      <c r="D30" s="1667"/>
      <c r="E30" s="1667"/>
      <c r="F30" s="1667"/>
      <c r="H30" s="483"/>
      <c r="K30" s="834"/>
      <c r="L30" s="834"/>
      <c r="M30" s="825"/>
      <c r="N30" s="834"/>
    </row>
    <row r="31" spans="1:14" ht="18.75">
      <c r="A31" s="1670" t="s">
        <v>406</v>
      </c>
      <c r="B31" s="1670"/>
      <c r="C31" s="1670" t="s">
        <v>580</v>
      </c>
      <c r="D31" s="1670"/>
      <c r="E31" s="1670"/>
      <c r="F31" s="1670"/>
      <c r="H31" s="484"/>
      <c r="K31" s="835"/>
      <c r="L31" s="835"/>
      <c r="M31" s="826"/>
      <c r="N31" s="835"/>
    </row>
    <row r="32" spans="1:14" ht="15.75">
      <c r="A32" s="1667" t="s">
        <v>407</v>
      </c>
      <c r="B32" s="1667"/>
      <c r="C32" s="1667" t="s">
        <v>151</v>
      </c>
      <c r="D32" s="1667"/>
      <c r="E32" s="1667"/>
      <c r="F32" s="1667"/>
      <c r="G32" s="667"/>
      <c r="H32" s="667"/>
      <c r="I32" s="667">
        <v>56336000</v>
      </c>
      <c r="K32" s="835"/>
      <c r="L32" s="835"/>
      <c r="M32" s="826"/>
      <c r="N32" s="835"/>
    </row>
    <row r="33" spans="1:14" ht="15">
      <c r="A33" s="28"/>
      <c r="B33" s="28"/>
      <c r="C33" s="211"/>
      <c r="D33" s="28"/>
      <c r="E33" s="28"/>
      <c r="F33" s="28"/>
      <c r="K33" s="835"/>
      <c r="L33" s="835"/>
      <c r="M33" s="826"/>
      <c r="N33" s="835"/>
    </row>
    <row r="34" spans="1:14" ht="15">
      <c r="A34" s="28"/>
      <c r="B34" s="28"/>
      <c r="C34" s="211"/>
      <c r="D34" s="28"/>
      <c r="E34" s="28"/>
      <c r="F34" s="28"/>
      <c r="K34" s="835"/>
      <c r="L34" s="835"/>
      <c r="M34" s="826"/>
      <c r="N34" s="835"/>
    </row>
    <row r="35" spans="1:14" ht="15">
      <c r="A35" s="28"/>
      <c r="B35" s="28"/>
      <c r="C35" s="211"/>
      <c r="D35" s="28"/>
      <c r="E35" s="28"/>
      <c r="F35" s="28"/>
      <c r="K35" s="835"/>
      <c r="L35" s="835"/>
      <c r="M35" s="826"/>
      <c r="N35" s="835"/>
    </row>
    <row r="36" spans="1:14" ht="30" customHeight="1">
      <c r="A36" s="28"/>
      <c r="B36" s="28"/>
      <c r="C36" s="211"/>
      <c r="D36" s="28"/>
      <c r="E36" s="28"/>
      <c r="F36" s="28"/>
      <c r="K36" s="835"/>
      <c r="L36" s="835"/>
      <c r="M36" s="826"/>
      <c r="N36" s="835"/>
    </row>
    <row r="37" spans="1:14" ht="15">
      <c r="A37" s="28"/>
      <c r="B37" s="28"/>
      <c r="C37" s="211"/>
      <c r="D37" s="28"/>
      <c r="E37" s="28"/>
      <c r="F37" s="28"/>
      <c r="K37" s="835"/>
      <c r="L37" s="835"/>
      <c r="M37" s="826"/>
      <c r="N37" s="835"/>
    </row>
    <row r="38" spans="1:14" ht="15">
      <c r="A38" s="28"/>
      <c r="B38" s="28"/>
      <c r="C38" s="211"/>
      <c r="D38" s="28"/>
      <c r="E38" s="28"/>
      <c r="F38" s="28"/>
      <c r="K38" s="835"/>
      <c r="L38" s="835"/>
      <c r="M38" s="826"/>
      <c r="N38" s="835"/>
    </row>
    <row r="39" spans="1:14" ht="18.75">
      <c r="A39" s="1717" t="s">
        <v>513</v>
      </c>
      <c r="B39" s="1717"/>
      <c r="C39" s="1717" t="s">
        <v>553</v>
      </c>
      <c r="D39" s="1717"/>
      <c r="E39" s="1717"/>
      <c r="F39" s="1717"/>
      <c r="K39" s="835"/>
      <c r="L39" s="835"/>
      <c r="M39" s="826"/>
      <c r="N39" s="835"/>
    </row>
    <row r="40" spans="1:14">
      <c r="K40" s="835"/>
      <c r="L40" s="835"/>
      <c r="M40" s="826"/>
      <c r="N40" s="835"/>
    </row>
    <row r="41" spans="1:14">
      <c r="K41" s="835"/>
      <c r="L41" s="835"/>
      <c r="M41" s="826"/>
      <c r="N41" s="835"/>
    </row>
    <row r="42" spans="1:14">
      <c r="K42" s="835"/>
      <c r="L42" s="835"/>
      <c r="M42" s="826"/>
      <c r="N42" s="835"/>
    </row>
    <row r="43" spans="1:14">
      <c r="K43" s="835"/>
      <c r="L43" s="835"/>
      <c r="M43" s="826"/>
      <c r="N43" s="835"/>
    </row>
    <row r="44" spans="1:14">
      <c r="K44" s="835"/>
      <c r="L44" s="835"/>
      <c r="M44" s="826"/>
      <c r="N44" s="835"/>
    </row>
    <row r="45" spans="1:14">
      <c r="K45" s="835"/>
      <c r="L45" s="835"/>
      <c r="M45" s="826"/>
      <c r="N45" s="835"/>
    </row>
    <row r="46" spans="1:14">
      <c r="K46" s="835"/>
      <c r="L46" s="835"/>
      <c r="M46" s="826"/>
      <c r="N46" s="835"/>
    </row>
    <row r="47" spans="1:14">
      <c r="K47" s="835"/>
      <c r="L47" s="835"/>
      <c r="M47" s="826"/>
      <c r="N47" s="835"/>
    </row>
    <row r="48" spans="1:14">
      <c r="K48" s="835"/>
      <c r="L48" s="835"/>
      <c r="M48" s="826"/>
      <c r="N48" s="835"/>
    </row>
    <row r="49" spans="11:14">
      <c r="K49" s="835"/>
      <c r="L49" s="835"/>
      <c r="M49" s="826"/>
      <c r="N49" s="835"/>
    </row>
    <row r="50" spans="11:14">
      <c r="K50" s="835"/>
      <c r="L50" s="835"/>
      <c r="M50" s="826"/>
      <c r="N50" s="835"/>
    </row>
  </sheetData>
  <mergeCells count="16">
    <mergeCell ref="E1:F1"/>
    <mergeCell ref="D3:F3"/>
    <mergeCell ref="C30:F30"/>
    <mergeCell ref="A31:B31"/>
    <mergeCell ref="C31:F31"/>
    <mergeCell ref="D10:D13"/>
    <mergeCell ref="C11:C13"/>
    <mergeCell ref="C14:C15"/>
    <mergeCell ref="C18:C22"/>
    <mergeCell ref="D18:D22"/>
    <mergeCell ref="D24:D25"/>
    <mergeCell ref="A32:B32"/>
    <mergeCell ref="C32:F32"/>
    <mergeCell ref="A39:B39"/>
    <mergeCell ref="C39:F39"/>
    <mergeCell ref="A2:F2"/>
  </mergeCells>
  <pageMargins left="0.39" right="0.16" top="0.66" bottom="0.21" header="0.3" footer="0.2"/>
  <pageSetup paperSize="9" orientation="landscape"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O39"/>
  <sheetViews>
    <sheetView topLeftCell="A4" workbookViewId="0">
      <selection activeCell="U17" sqref="U17"/>
    </sheetView>
  </sheetViews>
  <sheetFormatPr defaultRowHeight="12.75"/>
  <cols>
    <col min="1" max="1" width="5.42578125" style="411" customWidth="1"/>
    <col min="2" max="2" width="45.7109375" style="411" customWidth="1"/>
    <col min="3" max="3" width="33.28515625" style="411" customWidth="1"/>
    <col min="4" max="5" width="20.28515625" style="411" customWidth="1"/>
    <col min="6" max="6" width="20.28515625" style="411" hidden="1" customWidth="1"/>
    <col min="7" max="7" width="20.28515625" style="411" customWidth="1"/>
    <col min="8" max="8" width="22.28515625" style="486" hidden="1" customWidth="1"/>
    <col min="9" max="9" width="21.28515625" style="411" hidden="1" customWidth="1"/>
    <col min="10" max="10" width="20.7109375" style="411" hidden="1" customWidth="1"/>
    <col min="11" max="11" width="13" style="411" hidden="1" customWidth="1"/>
    <col min="12" max="12" width="0" style="411" hidden="1" customWidth="1"/>
    <col min="13" max="13" width="11.5703125" style="411" bestFit="1" customWidth="1"/>
    <col min="14" max="14" width="9.5703125" style="411" bestFit="1" customWidth="1"/>
    <col min="15" max="256" width="9.28515625" style="411"/>
    <col min="257" max="257" width="5.42578125" style="411" customWidth="1"/>
    <col min="258" max="258" width="45.7109375" style="411" customWidth="1"/>
    <col min="259" max="259" width="35.28515625" style="411" customWidth="1"/>
    <col min="260" max="261" width="20.28515625" style="411" customWidth="1"/>
    <col min="262" max="262" width="0" style="411" hidden="1" customWidth="1"/>
    <col min="263" max="263" width="20.28515625" style="411" customWidth="1"/>
    <col min="264" max="268" width="0" style="411" hidden="1" customWidth="1"/>
    <col min="269" max="512" width="9.28515625" style="411"/>
    <col min="513" max="513" width="5.42578125" style="411" customWidth="1"/>
    <col min="514" max="514" width="45.7109375" style="411" customWidth="1"/>
    <col min="515" max="515" width="35.28515625" style="411" customWidth="1"/>
    <col min="516" max="517" width="20.28515625" style="411" customWidth="1"/>
    <col min="518" max="518" width="0" style="411" hidden="1" customWidth="1"/>
    <col min="519" max="519" width="20.28515625" style="411" customWidth="1"/>
    <col min="520" max="524" width="0" style="411" hidden="1" customWidth="1"/>
    <col min="525" max="768" width="9.28515625" style="411"/>
    <col min="769" max="769" width="5.42578125" style="411" customWidth="1"/>
    <col min="770" max="770" width="45.7109375" style="411" customWidth="1"/>
    <col min="771" max="771" width="35.28515625" style="411" customWidth="1"/>
    <col min="772" max="773" width="20.28515625" style="411" customWidth="1"/>
    <col min="774" max="774" width="0" style="411" hidden="1" customWidth="1"/>
    <col min="775" max="775" width="20.28515625" style="411" customWidth="1"/>
    <col min="776" max="780" width="0" style="411" hidden="1" customWidth="1"/>
    <col min="781" max="1024" width="9.28515625" style="411"/>
    <col min="1025" max="1025" width="5.42578125" style="411" customWidth="1"/>
    <col min="1026" max="1026" width="45.7109375" style="411" customWidth="1"/>
    <col min="1027" max="1027" width="35.28515625" style="411" customWidth="1"/>
    <col min="1028" max="1029" width="20.28515625" style="411" customWidth="1"/>
    <col min="1030" max="1030" width="0" style="411" hidden="1" customWidth="1"/>
    <col min="1031" max="1031" width="20.28515625" style="411" customWidth="1"/>
    <col min="1032" max="1036" width="0" style="411" hidden="1" customWidth="1"/>
    <col min="1037" max="1280" width="9.28515625" style="411"/>
    <col min="1281" max="1281" width="5.42578125" style="411" customWidth="1"/>
    <col min="1282" max="1282" width="45.7109375" style="411" customWidth="1"/>
    <col min="1283" max="1283" width="35.28515625" style="411" customWidth="1"/>
    <col min="1284" max="1285" width="20.28515625" style="411" customWidth="1"/>
    <col min="1286" max="1286" width="0" style="411" hidden="1" customWidth="1"/>
    <col min="1287" max="1287" width="20.28515625" style="411" customWidth="1"/>
    <col min="1288" max="1292" width="0" style="411" hidden="1" customWidth="1"/>
    <col min="1293" max="1536" width="9.28515625" style="411"/>
    <col min="1537" max="1537" width="5.42578125" style="411" customWidth="1"/>
    <col min="1538" max="1538" width="45.7109375" style="411" customWidth="1"/>
    <col min="1539" max="1539" width="35.28515625" style="411" customWidth="1"/>
    <col min="1540" max="1541" width="20.28515625" style="411" customWidth="1"/>
    <col min="1542" max="1542" width="0" style="411" hidden="1" customWidth="1"/>
    <col min="1543" max="1543" width="20.28515625" style="411" customWidth="1"/>
    <col min="1544" max="1548" width="0" style="411" hidden="1" customWidth="1"/>
    <col min="1549" max="1792" width="9.28515625" style="411"/>
    <col min="1793" max="1793" width="5.42578125" style="411" customWidth="1"/>
    <col min="1794" max="1794" width="45.7109375" style="411" customWidth="1"/>
    <col min="1795" max="1795" width="35.28515625" style="411" customWidth="1"/>
    <col min="1796" max="1797" width="20.28515625" style="411" customWidth="1"/>
    <col min="1798" max="1798" width="0" style="411" hidden="1" customWidth="1"/>
    <col min="1799" max="1799" width="20.28515625" style="411" customWidth="1"/>
    <col min="1800" max="1804" width="0" style="411" hidden="1" customWidth="1"/>
    <col min="1805" max="2048" width="9.28515625" style="411"/>
    <col min="2049" max="2049" width="5.42578125" style="411" customWidth="1"/>
    <col min="2050" max="2050" width="45.7109375" style="411" customWidth="1"/>
    <col min="2051" max="2051" width="35.28515625" style="411" customWidth="1"/>
    <col min="2052" max="2053" width="20.28515625" style="411" customWidth="1"/>
    <col min="2054" max="2054" width="0" style="411" hidden="1" customWidth="1"/>
    <col min="2055" max="2055" width="20.28515625" style="411" customWidth="1"/>
    <col min="2056" max="2060" width="0" style="411" hidden="1" customWidth="1"/>
    <col min="2061" max="2304" width="9.28515625" style="411"/>
    <col min="2305" max="2305" width="5.42578125" style="411" customWidth="1"/>
    <col min="2306" max="2306" width="45.7109375" style="411" customWidth="1"/>
    <col min="2307" max="2307" width="35.28515625" style="411" customWidth="1"/>
    <col min="2308" max="2309" width="20.28515625" style="411" customWidth="1"/>
    <col min="2310" max="2310" width="0" style="411" hidden="1" customWidth="1"/>
    <col min="2311" max="2311" width="20.28515625" style="411" customWidth="1"/>
    <col min="2312" max="2316" width="0" style="411" hidden="1" customWidth="1"/>
    <col min="2317" max="2560" width="9.28515625" style="411"/>
    <col min="2561" max="2561" width="5.42578125" style="411" customWidth="1"/>
    <col min="2562" max="2562" width="45.7109375" style="411" customWidth="1"/>
    <col min="2563" max="2563" width="35.28515625" style="411" customWidth="1"/>
    <col min="2564" max="2565" width="20.28515625" style="411" customWidth="1"/>
    <col min="2566" max="2566" width="0" style="411" hidden="1" customWidth="1"/>
    <col min="2567" max="2567" width="20.28515625" style="411" customWidth="1"/>
    <col min="2568" max="2572" width="0" style="411" hidden="1" customWidth="1"/>
    <col min="2573" max="2816" width="9.28515625" style="411"/>
    <col min="2817" max="2817" width="5.42578125" style="411" customWidth="1"/>
    <col min="2818" max="2818" width="45.7109375" style="411" customWidth="1"/>
    <col min="2819" max="2819" width="35.28515625" style="411" customWidth="1"/>
    <col min="2820" max="2821" width="20.28515625" style="411" customWidth="1"/>
    <col min="2822" max="2822" width="0" style="411" hidden="1" customWidth="1"/>
    <col min="2823" max="2823" width="20.28515625" style="411" customWidth="1"/>
    <col min="2824" max="2828" width="0" style="411" hidden="1" customWidth="1"/>
    <col min="2829" max="3072" width="9.28515625" style="411"/>
    <col min="3073" max="3073" width="5.42578125" style="411" customWidth="1"/>
    <col min="3074" max="3074" width="45.7109375" style="411" customWidth="1"/>
    <col min="3075" max="3075" width="35.28515625" style="411" customWidth="1"/>
    <col min="3076" max="3077" width="20.28515625" style="411" customWidth="1"/>
    <col min="3078" max="3078" width="0" style="411" hidden="1" customWidth="1"/>
    <col min="3079" max="3079" width="20.28515625" style="411" customWidth="1"/>
    <col min="3080" max="3084" width="0" style="411" hidden="1" customWidth="1"/>
    <col min="3085" max="3328" width="9.28515625" style="411"/>
    <col min="3329" max="3329" width="5.42578125" style="411" customWidth="1"/>
    <col min="3330" max="3330" width="45.7109375" style="411" customWidth="1"/>
    <col min="3331" max="3331" width="35.28515625" style="411" customWidth="1"/>
    <col min="3332" max="3333" width="20.28515625" style="411" customWidth="1"/>
    <col min="3334" max="3334" width="0" style="411" hidden="1" customWidth="1"/>
    <col min="3335" max="3335" width="20.28515625" style="411" customWidth="1"/>
    <col min="3336" max="3340" width="0" style="411" hidden="1" customWidth="1"/>
    <col min="3341" max="3584" width="9.28515625" style="411"/>
    <col min="3585" max="3585" width="5.42578125" style="411" customWidth="1"/>
    <col min="3586" max="3586" width="45.7109375" style="411" customWidth="1"/>
    <col min="3587" max="3587" width="35.28515625" style="411" customWidth="1"/>
    <col min="3588" max="3589" width="20.28515625" style="411" customWidth="1"/>
    <col min="3590" max="3590" width="0" style="411" hidden="1" customWidth="1"/>
    <col min="3591" max="3591" width="20.28515625" style="411" customWidth="1"/>
    <col min="3592" max="3596" width="0" style="411" hidden="1" customWidth="1"/>
    <col min="3597" max="3840" width="9.28515625" style="411"/>
    <col min="3841" max="3841" width="5.42578125" style="411" customWidth="1"/>
    <col min="3842" max="3842" width="45.7109375" style="411" customWidth="1"/>
    <col min="3843" max="3843" width="35.28515625" style="411" customWidth="1"/>
    <col min="3844" max="3845" width="20.28515625" style="411" customWidth="1"/>
    <col min="3846" max="3846" width="0" style="411" hidden="1" customWidth="1"/>
    <col min="3847" max="3847" width="20.28515625" style="411" customWidth="1"/>
    <col min="3848" max="3852" width="0" style="411" hidden="1" customWidth="1"/>
    <col min="3853" max="4096" width="9.28515625" style="411"/>
    <col min="4097" max="4097" width="5.42578125" style="411" customWidth="1"/>
    <col min="4098" max="4098" width="45.7109375" style="411" customWidth="1"/>
    <col min="4099" max="4099" width="35.28515625" style="411" customWidth="1"/>
    <col min="4100" max="4101" width="20.28515625" style="411" customWidth="1"/>
    <col min="4102" max="4102" width="0" style="411" hidden="1" customWidth="1"/>
    <col min="4103" max="4103" width="20.28515625" style="411" customWidth="1"/>
    <col min="4104" max="4108" width="0" style="411" hidden="1" customWidth="1"/>
    <col min="4109" max="4352" width="9.28515625" style="411"/>
    <col min="4353" max="4353" width="5.42578125" style="411" customWidth="1"/>
    <col min="4354" max="4354" width="45.7109375" style="411" customWidth="1"/>
    <col min="4355" max="4355" width="35.28515625" style="411" customWidth="1"/>
    <col min="4356" max="4357" width="20.28515625" style="411" customWidth="1"/>
    <col min="4358" max="4358" width="0" style="411" hidden="1" customWidth="1"/>
    <col min="4359" max="4359" width="20.28515625" style="411" customWidth="1"/>
    <col min="4360" max="4364" width="0" style="411" hidden="1" customWidth="1"/>
    <col min="4365" max="4608" width="9.28515625" style="411"/>
    <col min="4609" max="4609" width="5.42578125" style="411" customWidth="1"/>
    <col min="4610" max="4610" width="45.7109375" style="411" customWidth="1"/>
    <col min="4611" max="4611" width="35.28515625" style="411" customWidth="1"/>
    <col min="4612" max="4613" width="20.28515625" style="411" customWidth="1"/>
    <col min="4614" max="4614" width="0" style="411" hidden="1" customWidth="1"/>
    <col min="4615" max="4615" width="20.28515625" style="411" customWidth="1"/>
    <col min="4616" max="4620" width="0" style="411" hidden="1" customWidth="1"/>
    <col min="4621" max="4864" width="9.28515625" style="411"/>
    <col min="4865" max="4865" width="5.42578125" style="411" customWidth="1"/>
    <col min="4866" max="4866" width="45.7109375" style="411" customWidth="1"/>
    <col min="4867" max="4867" width="35.28515625" style="411" customWidth="1"/>
    <col min="4868" max="4869" width="20.28515625" style="411" customWidth="1"/>
    <col min="4870" max="4870" width="0" style="411" hidden="1" customWidth="1"/>
    <col min="4871" max="4871" width="20.28515625" style="411" customWidth="1"/>
    <col min="4872" max="4876" width="0" style="411" hidden="1" customWidth="1"/>
    <col min="4877" max="5120" width="9.28515625" style="411"/>
    <col min="5121" max="5121" width="5.42578125" style="411" customWidth="1"/>
    <col min="5122" max="5122" width="45.7109375" style="411" customWidth="1"/>
    <col min="5123" max="5123" width="35.28515625" style="411" customWidth="1"/>
    <col min="5124" max="5125" width="20.28515625" style="411" customWidth="1"/>
    <col min="5126" max="5126" width="0" style="411" hidden="1" customWidth="1"/>
    <col min="5127" max="5127" width="20.28515625" style="411" customWidth="1"/>
    <col min="5128" max="5132" width="0" style="411" hidden="1" customWidth="1"/>
    <col min="5133" max="5376" width="9.28515625" style="411"/>
    <col min="5377" max="5377" width="5.42578125" style="411" customWidth="1"/>
    <col min="5378" max="5378" width="45.7109375" style="411" customWidth="1"/>
    <col min="5379" max="5379" width="35.28515625" style="411" customWidth="1"/>
    <col min="5380" max="5381" width="20.28515625" style="411" customWidth="1"/>
    <col min="5382" max="5382" width="0" style="411" hidden="1" customWidth="1"/>
    <col min="5383" max="5383" width="20.28515625" style="411" customWidth="1"/>
    <col min="5384" max="5388" width="0" style="411" hidden="1" customWidth="1"/>
    <col min="5389" max="5632" width="9.28515625" style="411"/>
    <col min="5633" max="5633" width="5.42578125" style="411" customWidth="1"/>
    <col min="5634" max="5634" width="45.7109375" style="411" customWidth="1"/>
    <col min="5635" max="5635" width="35.28515625" style="411" customWidth="1"/>
    <col min="5636" max="5637" width="20.28515625" style="411" customWidth="1"/>
    <col min="5638" max="5638" width="0" style="411" hidden="1" customWidth="1"/>
    <col min="5639" max="5639" width="20.28515625" style="411" customWidth="1"/>
    <col min="5640" max="5644" width="0" style="411" hidden="1" customWidth="1"/>
    <col min="5645" max="5888" width="9.28515625" style="411"/>
    <col min="5889" max="5889" width="5.42578125" style="411" customWidth="1"/>
    <col min="5890" max="5890" width="45.7109375" style="411" customWidth="1"/>
    <col min="5891" max="5891" width="35.28515625" style="411" customWidth="1"/>
    <col min="5892" max="5893" width="20.28515625" style="411" customWidth="1"/>
    <col min="5894" max="5894" width="0" style="411" hidden="1" customWidth="1"/>
    <col min="5895" max="5895" width="20.28515625" style="411" customWidth="1"/>
    <col min="5896" max="5900" width="0" style="411" hidden="1" customWidth="1"/>
    <col min="5901" max="6144" width="9.28515625" style="411"/>
    <col min="6145" max="6145" width="5.42578125" style="411" customWidth="1"/>
    <col min="6146" max="6146" width="45.7109375" style="411" customWidth="1"/>
    <col min="6147" max="6147" width="35.28515625" style="411" customWidth="1"/>
    <col min="6148" max="6149" width="20.28515625" style="411" customWidth="1"/>
    <col min="6150" max="6150" width="0" style="411" hidden="1" customWidth="1"/>
    <col min="6151" max="6151" width="20.28515625" style="411" customWidth="1"/>
    <col min="6152" max="6156" width="0" style="411" hidden="1" customWidth="1"/>
    <col min="6157" max="6400" width="9.28515625" style="411"/>
    <col min="6401" max="6401" width="5.42578125" style="411" customWidth="1"/>
    <col min="6402" max="6402" width="45.7109375" style="411" customWidth="1"/>
    <col min="6403" max="6403" width="35.28515625" style="411" customWidth="1"/>
    <col min="6404" max="6405" width="20.28515625" style="411" customWidth="1"/>
    <col min="6406" max="6406" width="0" style="411" hidden="1" customWidth="1"/>
    <col min="6407" max="6407" width="20.28515625" style="411" customWidth="1"/>
    <col min="6408" max="6412" width="0" style="411" hidden="1" customWidth="1"/>
    <col min="6413" max="6656" width="9.28515625" style="411"/>
    <col min="6657" max="6657" width="5.42578125" style="411" customWidth="1"/>
    <col min="6658" max="6658" width="45.7109375" style="411" customWidth="1"/>
    <col min="6659" max="6659" width="35.28515625" style="411" customWidth="1"/>
    <col min="6660" max="6661" width="20.28515625" style="411" customWidth="1"/>
    <col min="6662" max="6662" width="0" style="411" hidden="1" customWidth="1"/>
    <col min="6663" max="6663" width="20.28515625" style="411" customWidth="1"/>
    <col min="6664" max="6668" width="0" style="411" hidden="1" customWidth="1"/>
    <col min="6669" max="6912" width="9.28515625" style="411"/>
    <col min="6913" max="6913" width="5.42578125" style="411" customWidth="1"/>
    <col min="6914" max="6914" width="45.7109375" style="411" customWidth="1"/>
    <col min="6915" max="6915" width="35.28515625" style="411" customWidth="1"/>
    <col min="6916" max="6917" width="20.28515625" style="411" customWidth="1"/>
    <col min="6918" max="6918" width="0" style="411" hidden="1" customWidth="1"/>
    <col min="6919" max="6919" width="20.28515625" style="411" customWidth="1"/>
    <col min="6920" max="6924" width="0" style="411" hidden="1" customWidth="1"/>
    <col min="6925" max="7168" width="9.28515625" style="411"/>
    <col min="7169" max="7169" width="5.42578125" style="411" customWidth="1"/>
    <col min="7170" max="7170" width="45.7109375" style="411" customWidth="1"/>
    <col min="7171" max="7171" width="35.28515625" style="411" customWidth="1"/>
    <col min="7172" max="7173" width="20.28515625" style="411" customWidth="1"/>
    <col min="7174" max="7174" width="0" style="411" hidden="1" customWidth="1"/>
    <col min="7175" max="7175" width="20.28515625" style="411" customWidth="1"/>
    <col min="7176" max="7180" width="0" style="411" hidden="1" customWidth="1"/>
    <col min="7181" max="7424" width="9.28515625" style="411"/>
    <col min="7425" max="7425" width="5.42578125" style="411" customWidth="1"/>
    <col min="7426" max="7426" width="45.7109375" style="411" customWidth="1"/>
    <col min="7427" max="7427" width="35.28515625" style="411" customWidth="1"/>
    <col min="7428" max="7429" width="20.28515625" style="411" customWidth="1"/>
    <col min="7430" max="7430" width="0" style="411" hidden="1" customWidth="1"/>
    <col min="7431" max="7431" width="20.28515625" style="411" customWidth="1"/>
    <col min="7432" max="7436" width="0" style="411" hidden="1" customWidth="1"/>
    <col min="7437" max="7680" width="9.28515625" style="411"/>
    <col min="7681" max="7681" width="5.42578125" style="411" customWidth="1"/>
    <col min="7682" max="7682" width="45.7109375" style="411" customWidth="1"/>
    <col min="7683" max="7683" width="35.28515625" style="411" customWidth="1"/>
    <col min="7684" max="7685" width="20.28515625" style="411" customWidth="1"/>
    <col min="7686" max="7686" width="0" style="411" hidden="1" customWidth="1"/>
    <col min="7687" max="7687" width="20.28515625" style="411" customWidth="1"/>
    <col min="7688" max="7692" width="0" style="411" hidden="1" customWidth="1"/>
    <col min="7693" max="7936" width="9.28515625" style="411"/>
    <col min="7937" max="7937" width="5.42578125" style="411" customWidth="1"/>
    <col min="7938" max="7938" width="45.7109375" style="411" customWidth="1"/>
    <col min="7939" max="7939" width="35.28515625" style="411" customWidth="1"/>
    <col min="7940" max="7941" width="20.28515625" style="411" customWidth="1"/>
    <col min="7942" max="7942" width="0" style="411" hidden="1" customWidth="1"/>
    <col min="7943" max="7943" width="20.28515625" style="411" customWidth="1"/>
    <col min="7944" max="7948" width="0" style="411" hidden="1" customWidth="1"/>
    <col min="7949" max="8192" width="9.28515625" style="411"/>
    <col min="8193" max="8193" width="5.42578125" style="411" customWidth="1"/>
    <col min="8194" max="8194" width="45.7109375" style="411" customWidth="1"/>
    <col min="8195" max="8195" width="35.28515625" style="411" customWidth="1"/>
    <col min="8196" max="8197" width="20.28515625" style="411" customWidth="1"/>
    <col min="8198" max="8198" width="0" style="411" hidden="1" customWidth="1"/>
    <col min="8199" max="8199" width="20.28515625" style="411" customWidth="1"/>
    <col min="8200" max="8204" width="0" style="411" hidden="1" customWidth="1"/>
    <col min="8205" max="8448" width="9.28515625" style="411"/>
    <col min="8449" max="8449" width="5.42578125" style="411" customWidth="1"/>
    <col min="8450" max="8450" width="45.7109375" style="411" customWidth="1"/>
    <col min="8451" max="8451" width="35.28515625" style="411" customWidth="1"/>
    <col min="8452" max="8453" width="20.28515625" style="411" customWidth="1"/>
    <col min="8454" max="8454" width="0" style="411" hidden="1" customWidth="1"/>
    <col min="8455" max="8455" width="20.28515625" style="411" customWidth="1"/>
    <col min="8456" max="8460" width="0" style="411" hidden="1" customWidth="1"/>
    <col min="8461" max="8704" width="9.28515625" style="411"/>
    <col min="8705" max="8705" width="5.42578125" style="411" customWidth="1"/>
    <col min="8706" max="8706" width="45.7109375" style="411" customWidth="1"/>
    <col min="8707" max="8707" width="35.28515625" style="411" customWidth="1"/>
    <col min="8708" max="8709" width="20.28515625" style="411" customWidth="1"/>
    <col min="8710" max="8710" width="0" style="411" hidden="1" customWidth="1"/>
    <col min="8711" max="8711" width="20.28515625" style="411" customWidth="1"/>
    <col min="8712" max="8716" width="0" style="411" hidden="1" customWidth="1"/>
    <col min="8717" max="8960" width="9.28515625" style="411"/>
    <col min="8961" max="8961" width="5.42578125" style="411" customWidth="1"/>
    <col min="8962" max="8962" width="45.7109375" style="411" customWidth="1"/>
    <col min="8963" max="8963" width="35.28515625" style="411" customWidth="1"/>
    <col min="8964" max="8965" width="20.28515625" style="411" customWidth="1"/>
    <col min="8966" max="8966" width="0" style="411" hidden="1" customWidth="1"/>
    <col min="8967" max="8967" width="20.28515625" style="411" customWidth="1"/>
    <col min="8968" max="8972" width="0" style="411" hidden="1" customWidth="1"/>
    <col min="8973" max="9216" width="9.28515625" style="411"/>
    <col min="9217" max="9217" width="5.42578125" style="411" customWidth="1"/>
    <col min="9218" max="9218" width="45.7109375" style="411" customWidth="1"/>
    <col min="9219" max="9219" width="35.28515625" style="411" customWidth="1"/>
    <col min="9220" max="9221" width="20.28515625" style="411" customWidth="1"/>
    <col min="9222" max="9222" width="0" style="411" hidden="1" customWidth="1"/>
    <col min="9223" max="9223" width="20.28515625" style="411" customWidth="1"/>
    <col min="9224" max="9228" width="0" style="411" hidden="1" customWidth="1"/>
    <col min="9229" max="9472" width="9.28515625" style="411"/>
    <col min="9473" max="9473" width="5.42578125" style="411" customWidth="1"/>
    <col min="9474" max="9474" width="45.7109375" style="411" customWidth="1"/>
    <col min="9475" max="9475" width="35.28515625" style="411" customWidth="1"/>
    <col min="9476" max="9477" width="20.28515625" style="411" customWidth="1"/>
    <col min="9478" max="9478" width="0" style="411" hidden="1" customWidth="1"/>
    <col min="9479" max="9479" width="20.28515625" style="411" customWidth="1"/>
    <col min="9480" max="9484" width="0" style="411" hidden="1" customWidth="1"/>
    <col min="9485" max="9728" width="9.28515625" style="411"/>
    <col min="9729" max="9729" width="5.42578125" style="411" customWidth="1"/>
    <col min="9730" max="9730" width="45.7109375" style="411" customWidth="1"/>
    <col min="9731" max="9731" width="35.28515625" style="411" customWidth="1"/>
    <col min="9732" max="9733" width="20.28515625" style="411" customWidth="1"/>
    <col min="9734" max="9734" width="0" style="411" hidden="1" customWidth="1"/>
    <col min="9735" max="9735" width="20.28515625" style="411" customWidth="1"/>
    <col min="9736" max="9740" width="0" style="411" hidden="1" customWidth="1"/>
    <col min="9741" max="9984" width="9.28515625" style="411"/>
    <col min="9985" max="9985" width="5.42578125" style="411" customWidth="1"/>
    <col min="9986" max="9986" width="45.7109375" style="411" customWidth="1"/>
    <col min="9987" max="9987" width="35.28515625" style="411" customWidth="1"/>
    <col min="9988" max="9989" width="20.28515625" style="411" customWidth="1"/>
    <col min="9990" max="9990" width="0" style="411" hidden="1" customWidth="1"/>
    <col min="9991" max="9991" width="20.28515625" style="411" customWidth="1"/>
    <col min="9992" max="9996" width="0" style="411" hidden="1" customWidth="1"/>
    <col min="9997" max="10240" width="9.28515625" style="411"/>
    <col min="10241" max="10241" width="5.42578125" style="411" customWidth="1"/>
    <col min="10242" max="10242" width="45.7109375" style="411" customWidth="1"/>
    <col min="10243" max="10243" width="35.28515625" style="411" customWidth="1"/>
    <col min="10244" max="10245" width="20.28515625" style="411" customWidth="1"/>
    <col min="10246" max="10246" width="0" style="411" hidden="1" customWidth="1"/>
    <col min="10247" max="10247" width="20.28515625" style="411" customWidth="1"/>
    <col min="10248" max="10252" width="0" style="411" hidden="1" customWidth="1"/>
    <col min="10253" max="10496" width="9.28515625" style="411"/>
    <col min="10497" max="10497" width="5.42578125" style="411" customWidth="1"/>
    <col min="10498" max="10498" width="45.7109375" style="411" customWidth="1"/>
    <col min="10499" max="10499" width="35.28515625" style="411" customWidth="1"/>
    <col min="10500" max="10501" width="20.28515625" style="411" customWidth="1"/>
    <col min="10502" max="10502" width="0" style="411" hidden="1" customWidth="1"/>
    <col min="10503" max="10503" width="20.28515625" style="411" customWidth="1"/>
    <col min="10504" max="10508" width="0" style="411" hidden="1" customWidth="1"/>
    <col min="10509" max="10752" width="9.28515625" style="411"/>
    <col min="10753" max="10753" width="5.42578125" style="411" customWidth="1"/>
    <col min="10754" max="10754" width="45.7109375" style="411" customWidth="1"/>
    <col min="10755" max="10755" width="35.28515625" style="411" customWidth="1"/>
    <col min="10756" max="10757" width="20.28515625" style="411" customWidth="1"/>
    <col min="10758" max="10758" width="0" style="411" hidden="1" customWidth="1"/>
    <col min="10759" max="10759" width="20.28515625" style="411" customWidth="1"/>
    <col min="10760" max="10764" width="0" style="411" hidden="1" customWidth="1"/>
    <col min="10765" max="11008" width="9.28515625" style="411"/>
    <col min="11009" max="11009" width="5.42578125" style="411" customWidth="1"/>
    <col min="11010" max="11010" width="45.7109375" style="411" customWidth="1"/>
    <col min="11011" max="11011" width="35.28515625" style="411" customWidth="1"/>
    <col min="11012" max="11013" width="20.28515625" style="411" customWidth="1"/>
    <col min="11014" max="11014" width="0" style="411" hidden="1" customWidth="1"/>
    <col min="11015" max="11015" width="20.28515625" style="411" customWidth="1"/>
    <col min="11016" max="11020" width="0" style="411" hidden="1" customWidth="1"/>
    <col min="11021" max="11264" width="9.28515625" style="411"/>
    <col min="11265" max="11265" width="5.42578125" style="411" customWidth="1"/>
    <col min="11266" max="11266" width="45.7109375" style="411" customWidth="1"/>
    <col min="11267" max="11267" width="35.28515625" style="411" customWidth="1"/>
    <col min="11268" max="11269" width="20.28515625" style="411" customWidth="1"/>
    <col min="11270" max="11270" width="0" style="411" hidden="1" customWidth="1"/>
    <col min="11271" max="11271" width="20.28515625" style="411" customWidth="1"/>
    <col min="11272" max="11276" width="0" style="411" hidden="1" customWidth="1"/>
    <col min="11277" max="11520" width="9.28515625" style="411"/>
    <col min="11521" max="11521" width="5.42578125" style="411" customWidth="1"/>
    <col min="11522" max="11522" width="45.7109375" style="411" customWidth="1"/>
    <col min="11523" max="11523" width="35.28515625" style="411" customWidth="1"/>
    <col min="11524" max="11525" width="20.28515625" style="411" customWidth="1"/>
    <col min="11526" max="11526" width="0" style="411" hidden="1" customWidth="1"/>
    <col min="11527" max="11527" width="20.28515625" style="411" customWidth="1"/>
    <col min="11528" max="11532" width="0" style="411" hidden="1" customWidth="1"/>
    <col min="11533" max="11776" width="9.28515625" style="411"/>
    <col min="11777" max="11777" width="5.42578125" style="411" customWidth="1"/>
    <col min="11778" max="11778" width="45.7109375" style="411" customWidth="1"/>
    <col min="11779" max="11779" width="35.28515625" style="411" customWidth="1"/>
    <col min="11780" max="11781" width="20.28515625" style="411" customWidth="1"/>
    <col min="11782" max="11782" width="0" style="411" hidden="1" customWidth="1"/>
    <col min="11783" max="11783" width="20.28515625" style="411" customWidth="1"/>
    <col min="11784" max="11788" width="0" style="411" hidden="1" customWidth="1"/>
    <col min="11789" max="12032" width="9.28515625" style="411"/>
    <col min="12033" max="12033" width="5.42578125" style="411" customWidth="1"/>
    <col min="12034" max="12034" width="45.7109375" style="411" customWidth="1"/>
    <col min="12035" max="12035" width="35.28515625" style="411" customWidth="1"/>
    <col min="12036" max="12037" width="20.28515625" style="411" customWidth="1"/>
    <col min="12038" max="12038" width="0" style="411" hidden="1" customWidth="1"/>
    <col min="12039" max="12039" width="20.28515625" style="411" customWidth="1"/>
    <col min="12040" max="12044" width="0" style="411" hidden="1" customWidth="1"/>
    <col min="12045" max="12288" width="9.28515625" style="411"/>
    <col min="12289" max="12289" width="5.42578125" style="411" customWidth="1"/>
    <col min="12290" max="12290" width="45.7109375" style="411" customWidth="1"/>
    <col min="12291" max="12291" width="35.28515625" style="411" customWidth="1"/>
    <col min="12292" max="12293" width="20.28515625" style="411" customWidth="1"/>
    <col min="12294" max="12294" width="0" style="411" hidden="1" customWidth="1"/>
    <col min="12295" max="12295" width="20.28515625" style="411" customWidth="1"/>
    <col min="12296" max="12300" width="0" style="411" hidden="1" customWidth="1"/>
    <col min="12301" max="12544" width="9.28515625" style="411"/>
    <col min="12545" max="12545" width="5.42578125" style="411" customWidth="1"/>
    <col min="12546" max="12546" width="45.7109375" style="411" customWidth="1"/>
    <col min="12547" max="12547" width="35.28515625" style="411" customWidth="1"/>
    <col min="12548" max="12549" width="20.28515625" style="411" customWidth="1"/>
    <col min="12550" max="12550" width="0" style="411" hidden="1" customWidth="1"/>
    <col min="12551" max="12551" width="20.28515625" style="411" customWidth="1"/>
    <col min="12552" max="12556" width="0" style="411" hidden="1" customWidth="1"/>
    <col min="12557" max="12800" width="9.28515625" style="411"/>
    <col min="12801" max="12801" width="5.42578125" style="411" customWidth="1"/>
    <col min="12802" max="12802" width="45.7109375" style="411" customWidth="1"/>
    <col min="12803" max="12803" width="35.28515625" style="411" customWidth="1"/>
    <col min="12804" max="12805" width="20.28515625" style="411" customWidth="1"/>
    <col min="12806" max="12806" width="0" style="411" hidden="1" customWidth="1"/>
    <col min="12807" max="12807" width="20.28515625" style="411" customWidth="1"/>
    <col min="12808" max="12812" width="0" style="411" hidden="1" customWidth="1"/>
    <col min="12813" max="13056" width="9.28515625" style="411"/>
    <col min="13057" max="13057" width="5.42578125" style="411" customWidth="1"/>
    <col min="13058" max="13058" width="45.7109375" style="411" customWidth="1"/>
    <col min="13059" max="13059" width="35.28515625" style="411" customWidth="1"/>
    <col min="13060" max="13061" width="20.28515625" style="411" customWidth="1"/>
    <col min="13062" max="13062" width="0" style="411" hidden="1" customWidth="1"/>
    <col min="13063" max="13063" width="20.28515625" style="411" customWidth="1"/>
    <col min="13064" max="13068" width="0" style="411" hidden="1" customWidth="1"/>
    <col min="13069" max="13312" width="9.28515625" style="411"/>
    <col min="13313" max="13313" width="5.42578125" style="411" customWidth="1"/>
    <col min="13314" max="13314" width="45.7109375" style="411" customWidth="1"/>
    <col min="13315" max="13315" width="35.28515625" style="411" customWidth="1"/>
    <col min="13316" max="13317" width="20.28515625" style="411" customWidth="1"/>
    <col min="13318" max="13318" width="0" style="411" hidden="1" customWidth="1"/>
    <col min="13319" max="13319" width="20.28515625" style="411" customWidth="1"/>
    <col min="13320" max="13324" width="0" style="411" hidden="1" customWidth="1"/>
    <col min="13325" max="13568" width="9.28515625" style="411"/>
    <col min="13569" max="13569" width="5.42578125" style="411" customWidth="1"/>
    <col min="13570" max="13570" width="45.7109375" style="411" customWidth="1"/>
    <col min="13571" max="13571" width="35.28515625" style="411" customWidth="1"/>
    <col min="13572" max="13573" width="20.28515625" style="411" customWidth="1"/>
    <col min="13574" max="13574" width="0" style="411" hidden="1" customWidth="1"/>
    <col min="13575" max="13575" width="20.28515625" style="411" customWidth="1"/>
    <col min="13576" max="13580" width="0" style="411" hidden="1" customWidth="1"/>
    <col min="13581" max="13824" width="9.28515625" style="411"/>
    <col min="13825" max="13825" width="5.42578125" style="411" customWidth="1"/>
    <col min="13826" max="13826" width="45.7109375" style="411" customWidth="1"/>
    <col min="13827" max="13827" width="35.28515625" style="411" customWidth="1"/>
    <col min="13828" max="13829" width="20.28515625" style="411" customWidth="1"/>
    <col min="13830" max="13830" width="0" style="411" hidden="1" customWidth="1"/>
    <col min="13831" max="13831" width="20.28515625" style="411" customWidth="1"/>
    <col min="13832" max="13836" width="0" style="411" hidden="1" customWidth="1"/>
    <col min="13837" max="14080" width="9.28515625" style="411"/>
    <col min="14081" max="14081" width="5.42578125" style="411" customWidth="1"/>
    <col min="14082" max="14082" width="45.7109375" style="411" customWidth="1"/>
    <col min="14083" max="14083" width="35.28515625" style="411" customWidth="1"/>
    <col min="14084" max="14085" width="20.28515625" style="411" customWidth="1"/>
    <col min="14086" max="14086" width="0" style="411" hidden="1" customWidth="1"/>
    <col min="14087" max="14087" width="20.28515625" style="411" customWidth="1"/>
    <col min="14088" max="14092" width="0" style="411" hidden="1" customWidth="1"/>
    <col min="14093" max="14336" width="9.28515625" style="411"/>
    <col min="14337" max="14337" width="5.42578125" style="411" customWidth="1"/>
    <col min="14338" max="14338" width="45.7109375" style="411" customWidth="1"/>
    <col min="14339" max="14339" width="35.28515625" style="411" customWidth="1"/>
    <col min="14340" max="14341" width="20.28515625" style="411" customWidth="1"/>
    <col min="14342" max="14342" width="0" style="411" hidden="1" customWidth="1"/>
    <col min="14343" max="14343" width="20.28515625" style="411" customWidth="1"/>
    <col min="14344" max="14348" width="0" style="411" hidden="1" customWidth="1"/>
    <col min="14349" max="14592" width="9.28515625" style="411"/>
    <col min="14593" max="14593" width="5.42578125" style="411" customWidth="1"/>
    <col min="14594" max="14594" width="45.7109375" style="411" customWidth="1"/>
    <col min="14595" max="14595" width="35.28515625" style="411" customWidth="1"/>
    <col min="14596" max="14597" width="20.28515625" style="411" customWidth="1"/>
    <col min="14598" max="14598" width="0" style="411" hidden="1" customWidth="1"/>
    <col min="14599" max="14599" width="20.28515625" style="411" customWidth="1"/>
    <col min="14600" max="14604" width="0" style="411" hidden="1" customWidth="1"/>
    <col min="14605" max="14848" width="9.28515625" style="411"/>
    <col min="14849" max="14849" width="5.42578125" style="411" customWidth="1"/>
    <col min="14850" max="14850" width="45.7109375" style="411" customWidth="1"/>
    <col min="14851" max="14851" width="35.28515625" style="411" customWidth="1"/>
    <col min="14852" max="14853" width="20.28515625" style="411" customWidth="1"/>
    <col min="14854" max="14854" width="0" style="411" hidden="1" customWidth="1"/>
    <col min="14855" max="14855" width="20.28515625" style="411" customWidth="1"/>
    <col min="14856" max="14860" width="0" style="411" hidden="1" customWidth="1"/>
    <col min="14861" max="15104" width="9.28515625" style="411"/>
    <col min="15105" max="15105" width="5.42578125" style="411" customWidth="1"/>
    <col min="15106" max="15106" width="45.7109375" style="411" customWidth="1"/>
    <col min="15107" max="15107" width="35.28515625" style="411" customWidth="1"/>
    <col min="15108" max="15109" width="20.28515625" style="411" customWidth="1"/>
    <col min="15110" max="15110" width="0" style="411" hidden="1" customWidth="1"/>
    <col min="15111" max="15111" width="20.28515625" style="411" customWidth="1"/>
    <col min="15112" max="15116" width="0" style="411" hidden="1" customWidth="1"/>
    <col min="15117" max="15360" width="9.28515625" style="411"/>
    <col min="15361" max="15361" width="5.42578125" style="411" customWidth="1"/>
    <col min="15362" max="15362" width="45.7109375" style="411" customWidth="1"/>
    <col min="15363" max="15363" width="35.28515625" style="411" customWidth="1"/>
    <col min="15364" max="15365" width="20.28515625" style="411" customWidth="1"/>
    <col min="15366" max="15366" width="0" style="411" hidden="1" customWidth="1"/>
    <col min="15367" max="15367" width="20.28515625" style="411" customWidth="1"/>
    <col min="15368" max="15372" width="0" style="411" hidden="1" customWidth="1"/>
    <col min="15373" max="15616" width="9.28515625" style="411"/>
    <col min="15617" max="15617" width="5.42578125" style="411" customWidth="1"/>
    <col min="15618" max="15618" width="45.7109375" style="411" customWidth="1"/>
    <col min="15619" max="15619" width="35.28515625" style="411" customWidth="1"/>
    <col min="15620" max="15621" width="20.28515625" style="411" customWidth="1"/>
    <col min="15622" max="15622" width="0" style="411" hidden="1" customWidth="1"/>
    <col min="15623" max="15623" width="20.28515625" style="411" customWidth="1"/>
    <col min="15624" max="15628" width="0" style="411" hidden="1" customWidth="1"/>
    <col min="15629" max="15872" width="9.28515625" style="411"/>
    <col min="15873" max="15873" width="5.42578125" style="411" customWidth="1"/>
    <col min="15874" max="15874" width="45.7109375" style="411" customWidth="1"/>
    <col min="15875" max="15875" width="35.28515625" style="411" customWidth="1"/>
    <col min="15876" max="15877" width="20.28515625" style="411" customWidth="1"/>
    <col min="15878" max="15878" width="0" style="411" hidden="1" customWidth="1"/>
    <col min="15879" max="15879" width="20.28515625" style="411" customWidth="1"/>
    <col min="15880" max="15884" width="0" style="411" hidden="1" customWidth="1"/>
    <col min="15885" max="16128" width="9.28515625" style="411"/>
    <col min="16129" max="16129" width="5.42578125" style="411" customWidth="1"/>
    <col min="16130" max="16130" width="45.7109375" style="411" customWidth="1"/>
    <col min="16131" max="16131" width="35.28515625" style="411" customWidth="1"/>
    <col min="16132" max="16133" width="20.28515625" style="411" customWidth="1"/>
    <col min="16134" max="16134" width="0" style="411" hidden="1" customWidth="1"/>
    <col min="16135" max="16135" width="20.28515625" style="411" customWidth="1"/>
    <col min="16136" max="16140" width="0" style="411" hidden="1" customWidth="1"/>
    <col min="16141" max="16384" width="9.28515625" style="411"/>
  </cols>
  <sheetData>
    <row r="1" spans="1:15" ht="15.75">
      <c r="E1" s="485"/>
      <c r="G1" s="412" t="s">
        <v>956</v>
      </c>
    </row>
    <row r="2" spans="1:15" ht="28.5" customHeight="1">
      <c r="A2" s="1858" t="s">
        <v>957</v>
      </c>
      <c r="B2" s="1858"/>
      <c r="C2" s="1858"/>
      <c r="D2" s="1858"/>
      <c r="E2" s="1858"/>
      <c r="F2" s="1858"/>
      <c r="G2" s="1858"/>
    </row>
    <row r="3" spans="1:15" ht="15.75">
      <c r="D3" s="416"/>
      <c r="E3" s="416"/>
      <c r="G3" s="487" t="s">
        <v>216</v>
      </c>
    </row>
    <row r="4" spans="1:15" s="420" customFormat="1" ht="35.25" customHeight="1">
      <c r="A4" s="417" t="s">
        <v>313</v>
      </c>
      <c r="B4" s="417" t="s">
        <v>314</v>
      </c>
      <c r="C4" s="417" t="s">
        <v>959</v>
      </c>
      <c r="D4" s="418" t="s">
        <v>795</v>
      </c>
      <c r="E4" s="418" t="s">
        <v>771</v>
      </c>
      <c r="F4" s="418" t="s">
        <v>796</v>
      </c>
      <c r="G4" s="418" t="s">
        <v>255</v>
      </c>
      <c r="H4" s="488"/>
      <c r="I4" s="423"/>
      <c r="J4" s="423"/>
      <c r="K4" s="423"/>
      <c r="L4" s="423"/>
      <c r="M4" s="423"/>
      <c r="N4" s="423"/>
      <c r="O4" s="423"/>
    </row>
    <row r="5" spans="1:15" s="420" customFormat="1" ht="35.25" customHeight="1">
      <c r="A5" s="810" t="s">
        <v>316</v>
      </c>
      <c r="B5" s="810" t="s">
        <v>317</v>
      </c>
      <c r="C5" s="810" t="s">
        <v>246</v>
      </c>
      <c r="D5" s="810">
        <v>1</v>
      </c>
      <c r="E5" s="811">
        <v>2</v>
      </c>
      <c r="F5" s="810">
        <v>2</v>
      </c>
      <c r="G5" s="808">
        <v>3</v>
      </c>
      <c r="H5" s="488"/>
      <c r="I5" s="423"/>
      <c r="J5" s="423"/>
      <c r="K5" s="423"/>
      <c r="L5" s="423"/>
      <c r="M5" s="423"/>
      <c r="N5" s="423"/>
      <c r="O5" s="423"/>
    </row>
    <row r="6" spans="1:15" s="420" customFormat="1" ht="23.25" customHeight="1">
      <c r="A6" s="489">
        <v>1</v>
      </c>
      <c r="B6" s="490" t="s">
        <v>797</v>
      </c>
      <c r="C6" s="491"/>
      <c r="D6" s="691">
        <f>SUM(D7:D8)</f>
        <v>9411.9570999999996</v>
      </c>
      <c r="E6" s="691">
        <f>SUM(E7:E8)</f>
        <v>9411.9570999999996</v>
      </c>
      <c r="F6" s="691">
        <f>SUM(F7:F8)</f>
        <v>0</v>
      </c>
      <c r="G6" s="691">
        <f>SUM(G7:G8)</f>
        <v>0</v>
      </c>
      <c r="H6" s="492">
        <f>SUM(H7:H8)</f>
        <v>7642.4810239999997</v>
      </c>
    </row>
    <row r="7" spans="1:15" s="420" customFormat="1" ht="23.25" customHeight="1">
      <c r="A7" s="1857"/>
      <c r="B7" s="197" t="s">
        <v>798</v>
      </c>
      <c r="C7" s="493" t="s">
        <v>799</v>
      </c>
      <c r="D7" s="692">
        <v>7642.4810239999997</v>
      </c>
      <c r="E7" s="692">
        <f>+D7</f>
        <v>7642.4810239999997</v>
      </c>
      <c r="F7" s="692"/>
      <c r="G7" s="692"/>
      <c r="H7" s="494">
        <f>+D7</f>
        <v>7642.4810239999997</v>
      </c>
      <c r="I7" s="423">
        <v>63.43</v>
      </c>
      <c r="J7" s="495">
        <v>1706046076</v>
      </c>
      <c r="K7" s="423"/>
      <c r="L7" s="423"/>
      <c r="M7" s="423"/>
      <c r="N7" s="423"/>
      <c r="O7" s="423"/>
    </row>
    <row r="8" spans="1:15" s="420" customFormat="1" ht="23.25" customHeight="1">
      <c r="A8" s="1857"/>
      <c r="B8" s="197" t="s">
        <v>800</v>
      </c>
      <c r="C8" s="493"/>
      <c r="D8" s="692">
        <v>1769.4760759999999</v>
      </c>
      <c r="E8" s="693">
        <f>+D8</f>
        <v>1769.4760759999999</v>
      </c>
      <c r="F8" s="692">
        <f>+D8-E8</f>
        <v>0</v>
      </c>
      <c r="G8" s="692"/>
      <c r="H8" s="428"/>
      <c r="I8" s="496">
        <v>1644.1959999999999</v>
      </c>
      <c r="J8" s="495">
        <v>2966000000</v>
      </c>
    </row>
    <row r="9" spans="1:15" s="420" customFormat="1" ht="23.25" customHeight="1">
      <c r="A9" s="497">
        <v>2</v>
      </c>
      <c r="B9" s="498" t="s">
        <v>801</v>
      </c>
      <c r="C9" s="499"/>
      <c r="D9" s="694">
        <f>SUM(D10:D10)</f>
        <v>4418</v>
      </c>
      <c r="E9" s="694">
        <f>SUM(E10:E10)</f>
        <v>4418</v>
      </c>
      <c r="F9" s="694">
        <f>SUM(F10:F10)</f>
        <v>0</v>
      </c>
      <c r="G9" s="694">
        <f>SUM(G10:G10)</f>
        <v>0</v>
      </c>
      <c r="H9" s="501">
        <f>SUM(H10:H10)</f>
        <v>4418</v>
      </c>
      <c r="J9" s="495">
        <v>2159135000</v>
      </c>
    </row>
    <row r="10" spans="1:15" s="420" customFormat="1" ht="23.25" customHeight="1">
      <c r="A10" s="502"/>
      <c r="B10" s="197"/>
      <c r="C10" s="493" t="s">
        <v>802</v>
      </c>
      <c r="D10" s="692">
        <v>4418</v>
      </c>
      <c r="E10" s="692">
        <f>+D10</f>
        <v>4418</v>
      </c>
      <c r="F10" s="692">
        <f>E10-D10</f>
        <v>0</v>
      </c>
      <c r="G10" s="695"/>
      <c r="H10" s="503">
        <f>+D10</f>
        <v>4418</v>
      </c>
      <c r="J10" s="504">
        <f>SUM(J7:J9)</f>
        <v>6831181076</v>
      </c>
    </row>
    <row r="11" spans="1:15" s="420" customFormat="1" ht="23.25" customHeight="1">
      <c r="A11" s="497">
        <v>3</v>
      </c>
      <c r="B11" s="498" t="s">
        <v>803</v>
      </c>
      <c r="C11" s="499"/>
      <c r="D11" s="694">
        <f>+D12</f>
        <v>8010</v>
      </c>
      <c r="E11" s="694">
        <f>+E12</f>
        <v>8010</v>
      </c>
      <c r="F11" s="694">
        <f>+F12</f>
        <v>0</v>
      </c>
      <c r="G11" s="694">
        <f>SUM(G12:G13)</f>
        <v>0</v>
      </c>
      <c r="H11" s="500">
        <f>+H12</f>
        <v>8010</v>
      </c>
      <c r="J11" s="505" t="e">
        <f>J10-#REF!</f>
        <v>#REF!</v>
      </c>
    </row>
    <row r="12" spans="1:15" s="420" customFormat="1" ht="33" customHeight="1">
      <c r="A12" s="502" t="s">
        <v>575</v>
      </c>
      <c r="B12" s="197"/>
      <c r="C12" s="506" t="s">
        <v>804</v>
      </c>
      <c r="D12" s="692">
        <v>8010</v>
      </c>
      <c r="E12" s="692">
        <f>+D12</f>
        <v>8010</v>
      </c>
      <c r="F12" s="692"/>
      <c r="G12" s="692"/>
      <c r="H12" s="428">
        <f>+D12</f>
        <v>8010</v>
      </c>
    </row>
    <row r="13" spans="1:15" s="420" customFormat="1" ht="33" customHeight="1">
      <c r="A13" s="507">
        <v>4</v>
      </c>
      <c r="B13" s="508" t="s">
        <v>805</v>
      </c>
      <c r="C13" s="509" t="s">
        <v>806</v>
      </c>
      <c r="D13" s="510">
        <v>587.9112499999992</v>
      </c>
      <c r="E13" s="696">
        <f>D13</f>
        <v>587.9112499999992</v>
      </c>
      <c r="F13" s="692"/>
      <c r="G13" s="692"/>
      <c r="H13" s="511">
        <f>+E13</f>
        <v>587.9112499999992</v>
      </c>
      <c r="I13" s="512">
        <f>+D13+D14</f>
        <v>1969.9046889999991</v>
      </c>
    </row>
    <row r="14" spans="1:15" s="420" customFormat="1" ht="20.25" customHeight="1">
      <c r="A14" s="507">
        <v>5</v>
      </c>
      <c r="B14" s="508" t="s">
        <v>807</v>
      </c>
      <c r="C14" s="509"/>
      <c r="D14" s="510">
        <f>SUM(D15:D16)</f>
        <v>1381.9934389999999</v>
      </c>
      <c r="E14" s="510">
        <f>SUM(E15:E16)</f>
        <v>1381.9934389999999</v>
      </c>
      <c r="F14" s="692"/>
      <c r="G14" s="692"/>
      <c r="H14" s="511"/>
    </row>
    <row r="15" spans="1:15" s="25" customFormat="1" ht="20.25" customHeight="1">
      <c r="A15" s="513"/>
      <c r="B15" s="75" t="s">
        <v>808</v>
      </c>
      <c r="C15" s="509"/>
      <c r="D15" s="514">
        <v>612</v>
      </c>
      <c r="E15" s="697">
        <f>+D15</f>
        <v>612</v>
      </c>
      <c r="F15" s="697"/>
      <c r="G15" s="697"/>
      <c r="H15" s="515"/>
    </row>
    <row r="16" spans="1:15" s="25" customFormat="1" ht="20.25" customHeight="1">
      <c r="A16" s="513"/>
      <c r="B16" s="75" t="s">
        <v>809</v>
      </c>
      <c r="C16" s="509"/>
      <c r="D16" s="514">
        <v>769.99343899999997</v>
      </c>
      <c r="E16" s="697">
        <f>+D16</f>
        <v>769.99343899999997</v>
      </c>
      <c r="F16" s="697"/>
      <c r="G16" s="697"/>
      <c r="H16" s="515"/>
    </row>
    <row r="17" spans="1:13" s="518" customFormat="1" ht="20.25" customHeight="1">
      <c r="A17" s="497">
        <v>4</v>
      </c>
      <c r="B17" s="516" t="s">
        <v>810</v>
      </c>
      <c r="C17" s="516"/>
      <c r="D17" s="694">
        <f>D6+D9+D11+D13+D14</f>
        <v>23809.861788999995</v>
      </c>
      <c r="E17" s="694">
        <f>E6+E9+E11+E13+E14</f>
        <v>23809.861788999995</v>
      </c>
      <c r="F17" s="694">
        <f>F6+F9+F11+F13</f>
        <v>0</v>
      </c>
      <c r="G17" s="694">
        <f>G6+G9+G11+G13</f>
        <v>0</v>
      </c>
      <c r="H17" s="517">
        <f>H6+H9+H11+H13</f>
        <v>20658.392273999998</v>
      </c>
      <c r="I17" s="517">
        <v>20722.194474</v>
      </c>
      <c r="J17" s="517">
        <f>+H17-I17</f>
        <v>-63.802200000001903</v>
      </c>
    </row>
    <row r="18" spans="1:13" s="420" customFormat="1" ht="20.25" customHeight="1">
      <c r="A18" s="497">
        <v>5</v>
      </c>
      <c r="B18" s="516" t="s">
        <v>811</v>
      </c>
      <c r="C18" s="516"/>
      <c r="D18" s="694">
        <f>SUM(D19:D21)</f>
        <v>21651.755075999998</v>
      </c>
      <c r="E18" s="694">
        <f>SUM(E19:E21)</f>
        <v>21538.406709999999</v>
      </c>
      <c r="F18" s="694">
        <f>SUM(F19:F21)</f>
        <v>0</v>
      </c>
      <c r="G18" s="694"/>
      <c r="H18" s="503"/>
    </row>
    <row r="19" spans="1:13" s="420" customFormat="1" ht="39" customHeight="1">
      <c r="A19" s="502" t="s">
        <v>264</v>
      </c>
      <c r="B19" s="519" t="s">
        <v>812</v>
      </c>
      <c r="C19" s="520" t="s">
        <v>813</v>
      </c>
      <c r="D19" s="692">
        <v>12060.48</v>
      </c>
      <c r="E19" s="698">
        <f>+D19</f>
        <v>12060.48</v>
      </c>
      <c r="F19" s="698"/>
      <c r="G19" s="698"/>
      <c r="H19" s="503">
        <f>+H20+H21+E25</f>
        <v>112.97616599999999</v>
      </c>
      <c r="I19" s="521">
        <f>+D12-E20</f>
        <v>238.1193659999999</v>
      </c>
      <c r="J19" s="521">
        <f>+I19-H19</f>
        <v>125.14319999999991</v>
      </c>
    </row>
    <row r="20" spans="1:13" s="423" customFormat="1" ht="39" customHeight="1">
      <c r="A20" s="522" t="s">
        <v>154</v>
      </c>
      <c r="B20" s="519" t="s">
        <v>814</v>
      </c>
      <c r="C20" s="520" t="s">
        <v>815</v>
      </c>
      <c r="D20" s="692">
        <v>7885.2290000000003</v>
      </c>
      <c r="E20" s="698">
        <f>7787.213634-10.076-5.257</f>
        <v>7771.8806340000001</v>
      </c>
      <c r="F20" s="698"/>
      <c r="G20" s="695"/>
      <c r="H20" s="523">
        <v>10.076000000000001</v>
      </c>
      <c r="I20" s="25" t="s">
        <v>556</v>
      </c>
      <c r="J20" s="524">
        <f>+D12-D20</f>
        <v>124.77099999999973</v>
      </c>
    </row>
    <row r="21" spans="1:13" s="420" customFormat="1" ht="24" customHeight="1">
      <c r="A21" s="522" t="s">
        <v>577</v>
      </c>
      <c r="B21" s="519" t="s">
        <v>816</v>
      </c>
      <c r="C21" s="493"/>
      <c r="D21" s="698">
        <v>1706.0460759999999</v>
      </c>
      <c r="E21" s="698">
        <f>D21</f>
        <v>1706.0460759999999</v>
      </c>
      <c r="F21" s="698">
        <f>E21-D21</f>
        <v>0</v>
      </c>
      <c r="G21" s="698"/>
      <c r="H21" s="525">
        <v>5.2569999999999997</v>
      </c>
      <c r="I21" s="420" t="s">
        <v>307</v>
      </c>
      <c r="J21" s="521">
        <f>+J20-J19</f>
        <v>-0.37220000000017706</v>
      </c>
    </row>
    <row r="22" spans="1:13" ht="27.75" customHeight="1">
      <c r="A22" s="489">
        <v>6</v>
      </c>
      <c r="B22" s="526" t="s">
        <v>817</v>
      </c>
      <c r="C22" s="526"/>
      <c r="D22" s="691"/>
      <c r="E22" s="691">
        <f>E17-E18</f>
        <v>2271.4550789999957</v>
      </c>
      <c r="F22" s="691"/>
      <c r="G22" s="699"/>
      <c r="H22" s="527"/>
      <c r="M22" s="658"/>
    </row>
    <row r="23" spans="1:13" ht="48.75" customHeight="1">
      <c r="A23" s="705"/>
      <c r="B23" s="528" t="s">
        <v>818</v>
      </c>
      <c r="C23" s="520" t="s">
        <v>958</v>
      </c>
      <c r="D23" s="692"/>
      <c r="E23" s="692">
        <f>612+776.485474</f>
        <v>1388.4854740000001</v>
      </c>
      <c r="F23" s="692"/>
      <c r="G23" s="700"/>
      <c r="H23" s="527">
        <f>+E23+E25</f>
        <v>1486.1286400000001</v>
      </c>
      <c r="I23" s="529">
        <v>15333000</v>
      </c>
      <c r="M23" s="818"/>
    </row>
    <row r="24" spans="1:13" ht="23.25" customHeight="1">
      <c r="A24" s="706"/>
      <c r="B24" s="528" t="s">
        <v>820</v>
      </c>
      <c r="C24" s="530"/>
      <c r="D24" s="692"/>
      <c r="E24" s="692">
        <v>785.32643899999562</v>
      </c>
      <c r="F24" s="692"/>
      <c r="G24" s="700"/>
      <c r="H24" s="527">
        <v>785.32643900000005</v>
      </c>
    </row>
    <row r="25" spans="1:13" ht="25.5">
      <c r="A25" s="707"/>
      <c r="B25" s="533" t="s">
        <v>821</v>
      </c>
      <c r="C25" s="712" t="s">
        <v>819</v>
      </c>
      <c r="D25" s="703"/>
      <c r="E25" s="703">
        <v>97.643165999999994</v>
      </c>
      <c r="F25" s="703"/>
      <c r="G25" s="704"/>
      <c r="H25" s="527">
        <f>+E24-H24</f>
        <v>-4.4337866711430252E-12</v>
      </c>
    </row>
    <row r="26" spans="1:13" ht="15" hidden="1">
      <c r="A26" s="706"/>
      <c r="B26" s="708" t="s">
        <v>822</v>
      </c>
      <c r="C26" s="709"/>
      <c r="D26" s="710"/>
      <c r="E26" s="710"/>
      <c r="F26" s="710"/>
      <c r="G26" s="711"/>
      <c r="H26" s="527"/>
    </row>
    <row r="27" spans="1:13" ht="15" hidden="1">
      <c r="A27" s="706"/>
      <c r="B27" s="531" t="s">
        <v>823</v>
      </c>
      <c r="C27" s="532"/>
      <c r="D27" s="701"/>
      <c r="E27" s="701">
        <f>D27</f>
        <v>0</v>
      </c>
      <c r="F27" s="701"/>
      <c r="G27" s="702"/>
      <c r="H27" s="527"/>
    </row>
    <row r="28" spans="1:13" ht="15" hidden="1">
      <c r="A28" s="707"/>
      <c r="B28" s="533" t="s">
        <v>824</v>
      </c>
      <c r="C28" s="534"/>
      <c r="D28" s="703"/>
      <c r="E28" s="703">
        <f>D28</f>
        <v>0</v>
      </c>
      <c r="F28" s="703"/>
      <c r="G28" s="704"/>
      <c r="H28" s="527"/>
    </row>
    <row r="29" spans="1:13">
      <c r="H29" s="527"/>
    </row>
    <row r="30" spans="1:13" s="420" customFormat="1" ht="15.75">
      <c r="A30" s="396"/>
      <c r="B30" s="28"/>
      <c r="C30" s="1667" t="s">
        <v>741</v>
      </c>
      <c r="D30" s="1667"/>
      <c r="E30" s="1667"/>
      <c r="F30" s="1667"/>
      <c r="G30" s="1667"/>
      <c r="H30" s="483"/>
    </row>
    <row r="31" spans="1:13" ht="18.75">
      <c r="A31" s="1670" t="s">
        <v>406</v>
      </c>
      <c r="B31" s="1670"/>
      <c r="C31" s="1670" t="s">
        <v>580</v>
      </c>
      <c r="D31" s="1670"/>
      <c r="E31" s="1670"/>
      <c r="F31" s="1670"/>
      <c r="G31" s="1670"/>
      <c r="H31" s="484"/>
    </row>
    <row r="32" spans="1:13" ht="15.75">
      <c r="A32" s="1667" t="s">
        <v>407</v>
      </c>
      <c r="B32" s="1667"/>
      <c r="C32" s="1667" t="s">
        <v>151</v>
      </c>
      <c r="D32" s="1667"/>
      <c r="E32" s="1667"/>
      <c r="F32" s="1667"/>
      <c r="G32" s="1667"/>
      <c r="H32" s="667"/>
      <c r="I32" s="667">
        <v>56336000</v>
      </c>
    </row>
    <row r="33" spans="1:8" ht="15">
      <c r="A33" s="28"/>
      <c r="B33" s="28"/>
      <c r="C33" s="211"/>
      <c r="D33" s="28"/>
      <c r="E33" s="28"/>
      <c r="F33" s="28"/>
      <c r="H33" s="411"/>
    </row>
    <row r="34" spans="1:8" ht="15">
      <c r="A34" s="28"/>
      <c r="B34" s="28"/>
      <c r="C34" s="211"/>
      <c r="D34" s="28"/>
      <c r="E34" s="28"/>
      <c r="F34" s="28"/>
      <c r="H34" s="411"/>
    </row>
    <row r="35" spans="1:8" ht="15">
      <c r="A35" s="28"/>
      <c r="B35" s="28"/>
      <c r="C35" s="211"/>
      <c r="D35" s="28"/>
      <c r="E35" s="28"/>
      <c r="F35" s="28"/>
      <c r="H35" s="411"/>
    </row>
    <row r="36" spans="1:8" ht="30" customHeight="1">
      <c r="A36" s="28"/>
      <c r="B36" s="28"/>
      <c r="C36" s="211"/>
      <c r="D36" s="28"/>
      <c r="E36" s="28"/>
      <c r="F36" s="28"/>
      <c r="H36" s="411"/>
    </row>
    <row r="37" spans="1:8" ht="15">
      <c r="A37" s="28"/>
      <c r="B37" s="28"/>
      <c r="C37" s="211"/>
      <c r="D37" s="28"/>
      <c r="E37" s="28"/>
      <c r="F37" s="28"/>
      <c r="H37" s="411"/>
    </row>
    <row r="38" spans="1:8" ht="15">
      <c r="A38" s="28"/>
      <c r="B38" s="28"/>
      <c r="C38" s="211"/>
      <c r="D38" s="28"/>
      <c r="E38" s="28"/>
      <c r="F38" s="28"/>
      <c r="H38" s="411"/>
    </row>
    <row r="39" spans="1:8" ht="18.75">
      <c r="A39" s="1717" t="s">
        <v>513</v>
      </c>
      <c r="B39" s="1717"/>
      <c r="C39" s="1717" t="s">
        <v>553</v>
      </c>
      <c r="D39" s="1717"/>
      <c r="E39" s="1717"/>
      <c r="F39" s="1717"/>
      <c r="G39" s="1717"/>
      <c r="H39" s="411"/>
    </row>
  </sheetData>
  <mergeCells count="9">
    <mergeCell ref="A7:A8"/>
    <mergeCell ref="A2:G2"/>
    <mergeCell ref="A31:B31"/>
    <mergeCell ref="A32:B32"/>
    <mergeCell ref="A39:B39"/>
    <mergeCell ref="C30:G30"/>
    <mergeCell ref="C31:G31"/>
    <mergeCell ref="C32:G32"/>
    <mergeCell ref="C39:G39"/>
  </mergeCells>
  <pageMargins left="0.24" right="0.16" top="0.46" bottom="0.21" header="0.3" footer="0.2"/>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
  <sheetViews>
    <sheetView workbookViewId="0"/>
  </sheetViews>
  <sheetFormatPr defaultRowHeight="1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L96"/>
  <sheetViews>
    <sheetView workbookViewId="0">
      <selection activeCell="E3" sqref="E3"/>
    </sheetView>
  </sheetViews>
  <sheetFormatPr defaultRowHeight="12.75"/>
  <cols>
    <col min="1" max="1" width="4" style="538" customWidth="1"/>
    <col min="2" max="2" width="6.28515625" style="538" customWidth="1"/>
    <col min="3" max="3" width="10.28515625" style="538" customWidth="1"/>
    <col min="4" max="4" width="68.28515625" style="37" customWidth="1"/>
    <col min="5" max="5" width="17.42578125" style="536" customWidth="1"/>
    <col min="6" max="6" width="9" style="538" customWidth="1"/>
    <col min="7" max="7" width="11.7109375" style="538" customWidth="1"/>
    <col min="8" max="8" width="70.28515625" style="37" customWidth="1"/>
    <col min="9" max="9" width="18.5703125" style="536" customWidth="1"/>
    <col min="10" max="10" width="16.28515625" style="536" customWidth="1"/>
    <col min="11" max="11" width="13.7109375" style="37" bestFit="1" customWidth="1"/>
    <col min="12" max="256" width="9.28515625" style="37"/>
    <col min="257" max="257" width="4" style="37" customWidth="1"/>
    <col min="258" max="258" width="6.28515625" style="37" customWidth="1"/>
    <col min="259" max="259" width="10.28515625" style="37" customWidth="1"/>
    <col min="260" max="260" width="68.28515625" style="37" customWidth="1"/>
    <col min="261" max="261" width="17.42578125" style="37" customWidth="1"/>
    <col min="262" max="263" width="16.42578125" style="37" customWidth="1"/>
    <col min="264" max="264" width="70.28515625" style="37" customWidth="1"/>
    <col min="265" max="265" width="18.5703125" style="37" customWidth="1"/>
    <col min="266" max="266" width="16.28515625" style="37" customWidth="1"/>
    <col min="267" max="267" width="13.7109375" style="37" bestFit="1" customWidth="1"/>
    <col min="268" max="512" width="9.28515625" style="37"/>
    <col min="513" max="513" width="4" style="37" customWidth="1"/>
    <col min="514" max="514" width="6.28515625" style="37" customWidth="1"/>
    <col min="515" max="515" width="10.28515625" style="37" customWidth="1"/>
    <col min="516" max="516" width="68.28515625" style="37" customWidth="1"/>
    <col min="517" max="517" width="17.42578125" style="37" customWidth="1"/>
    <col min="518" max="519" width="16.42578125" style="37" customWidth="1"/>
    <col min="520" max="520" width="70.28515625" style="37" customWidth="1"/>
    <col min="521" max="521" width="18.5703125" style="37" customWidth="1"/>
    <col min="522" max="522" width="16.28515625" style="37" customWidth="1"/>
    <col min="523" max="523" width="13.7109375" style="37" bestFit="1" customWidth="1"/>
    <col min="524" max="768" width="9.28515625" style="37"/>
    <col min="769" max="769" width="4" style="37" customWidth="1"/>
    <col min="770" max="770" width="6.28515625" style="37" customWidth="1"/>
    <col min="771" max="771" width="10.28515625" style="37" customWidth="1"/>
    <col min="772" max="772" width="68.28515625" style="37" customWidth="1"/>
    <col min="773" max="773" width="17.42578125" style="37" customWidth="1"/>
    <col min="774" max="775" width="16.42578125" style="37" customWidth="1"/>
    <col min="776" max="776" width="70.28515625" style="37" customWidth="1"/>
    <col min="777" max="777" width="18.5703125" style="37" customWidth="1"/>
    <col min="778" max="778" width="16.28515625" style="37" customWidth="1"/>
    <col min="779" max="779" width="13.7109375" style="37" bestFit="1" customWidth="1"/>
    <col min="780" max="1024" width="9.28515625" style="37"/>
    <col min="1025" max="1025" width="4" style="37" customWidth="1"/>
    <col min="1026" max="1026" width="6.28515625" style="37" customWidth="1"/>
    <col min="1027" max="1027" width="10.28515625" style="37" customWidth="1"/>
    <col min="1028" max="1028" width="68.28515625" style="37" customWidth="1"/>
    <col min="1029" max="1029" width="17.42578125" style="37" customWidth="1"/>
    <col min="1030" max="1031" width="16.42578125" style="37" customWidth="1"/>
    <col min="1032" max="1032" width="70.28515625" style="37" customWidth="1"/>
    <col min="1033" max="1033" width="18.5703125" style="37" customWidth="1"/>
    <col min="1034" max="1034" width="16.28515625" style="37" customWidth="1"/>
    <col min="1035" max="1035" width="13.7109375" style="37" bestFit="1" customWidth="1"/>
    <col min="1036" max="1280" width="9.28515625" style="37"/>
    <col min="1281" max="1281" width="4" style="37" customWidth="1"/>
    <col min="1282" max="1282" width="6.28515625" style="37" customWidth="1"/>
    <col min="1283" max="1283" width="10.28515625" style="37" customWidth="1"/>
    <col min="1284" max="1284" width="68.28515625" style="37" customWidth="1"/>
    <col min="1285" max="1285" width="17.42578125" style="37" customWidth="1"/>
    <col min="1286" max="1287" width="16.42578125" style="37" customWidth="1"/>
    <col min="1288" max="1288" width="70.28515625" style="37" customWidth="1"/>
    <col min="1289" max="1289" width="18.5703125" style="37" customWidth="1"/>
    <col min="1290" max="1290" width="16.28515625" style="37" customWidth="1"/>
    <col min="1291" max="1291" width="13.7109375" style="37" bestFit="1" customWidth="1"/>
    <col min="1292" max="1536" width="9.28515625" style="37"/>
    <col min="1537" max="1537" width="4" style="37" customWidth="1"/>
    <col min="1538" max="1538" width="6.28515625" style="37" customWidth="1"/>
    <col min="1539" max="1539" width="10.28515625" style="37" customWidth="1"/>
    <col min="1540" max="1540" width="68.28515625" style="37" customWidth="1"/>
    <col min="1541" max="1541" width="17.42578125" style="37" customWidth="1"/>
    <col min="1542" max="1543" width="16.42578125" style="37" customWidth="1"/>
    <col min="1544" max="1544" width="70.28515625" style="37" customWidth="1"/>
    <col min="1545" max="1545" width="18.5703125" style="37" customWidth="1"/>
    <col min="1546" max="1546" width="16.28515625" style="37" customWidth="1"/>
    <col min="1547" max="1547" width="13.7109375" style="37" bestFit="1" customWidth="1"/>
    <col min="1548" max="1792" width="9.28515625" style="37"/>
    <col min="1793" max="1793" width="4" style="37" customWidth="1"/>
    <col min="1794" max="1794" width="6.28515625" style="37" customWidth="1"/>
    <col min="1795" max="1795" width="10.28515625" style="37" customWidth="1"/>
    <col min="1796" max="1796" width="68.28515625" style="37" customWidth="1"/>
    <col min="1797" max="1797" width="17.42578125" style="37" customWidth="1"/>
    <col min="1798" max="1799" width="16.42578125" style="37" customWidth="1"/>
    <col min="1800" max="1800" width="70.28515625" style="37" customWidth="1"/>
    <col min="1801" max="1801" width="18.5703125" style="37" customWidth="1"/>
    <col min="1802" max="1802" width="16.28515625" style="37" customWidth="1"/>
    <col min="1803" max="1803" width="13.7109375" style="37" bestFit="1" customWidth="1"/>
    <col min="1804" max="2048" width="9.28515625" style="37"/>
    <col min="2049" max="2049" width="4" style="37" customWidth="1"/>
    <col min="2050" max="2050" width="6.28515625" style="37" customWidth="1"/>
    <col min="2051" max="2051" width="10.28515625" style="37" customWidth="1"/>
    <col min="2052" max="2052" width="68.28515625" style="37" customWidth="1"/>
    <col min="2053" max="2053" width="17.42578125" style="37" customWidth="1"/>
    <col min="2054" max="2055" width="16.42578125" style="37" customWidth="1"/>
    <col min="2056" max="2056" width="70.28515625" style="37" customWidth="1"/>
    <col min="2057" max="2057" width="18.5703125" style="37" customWidth="1"/>
    <col min="2058" max="2058" width="16.28515625" style="37" customWidth="1"/>
    <col min="2059" max="2059" width="13.7109375" style="37" bestFit="1" customWidth="1"/>
    <col min="2060" max="2304" width="9.28515625" style="37"/>
    <col min="2305" max="2305" width="4" style="37" customWidth="1"/>
    <col min="2306" max="2306" width="6.28515625" style="37" customWidth="1"/>
    <col min="2307" max="2307" width="10.28515625" style="37" customWidth="1"/>
    <col min="2308" max="2308" width="68.28515625" style="37" customWidth="1"/>
    <col min="2309" max="2309" width="17.42578125" style="37" customWidth="1"/>
    <col min="2310" max="2311" width="16.42578125" style="37" customWidth="1"/>
    <col min="2312" max="2312" width="70.28515625" style="37" customWidth="1"/>
    <col min="2313" max="2313" width="18.5703125" style="37" customWidth="1"/>
    <col min="2314" max="2314" width="16.28515625" style="37" customWidth="1"/>
    <col min="2315" max="2315" width="13.7109375" style="37" bestFit="1" customWidth="1"/>
    <col min="2316" max="2560" width="9.28515625" style="37"/>
    <col min="2561" max="2561" width="4" style="37" customWidth="1"/>
    <col min="2562" max="2562" width="6.28515625" style="37" customWidth="1"/>
    <col min="2563" max="2563" width="10.28515625" style="37" customWidth="1"/>
    <col min="2564" max="2564" width="68.28515625" style="37" customWidth="1"/>
    <col min="2565" max="2565" width="17.42578125" style="37" customWidth="1"/>
    <col min="2566" max="2567" width="16.42578125" style="37" customWidth="1"/>
    <col min="2568" max="2568" width="70.28515625" style="37" customWidth="1"/>
    <col min="2569" max="2569" width="18.5703125" style="37" customWidth="1"/>
    <col min="2570" max="2570" width="16.28515625" style="37" customWidth="1"/>
    <col min="2571" max="2571" width="13.7109375" style="37" bestFit="1" customWidth="1"/>
    <col min="2572" max="2816" width="9.28515625" style="37"/>
    <col min="2817" max="2817" width="4" style="37" customWidth="1"/>
    <col min="2818" max="2818" width="6.28515625" style="37" customWidth="1"/>
    <col min="2819" max="2819" width="10.28515625" style="37" customWidth="1"/>
    <col min="2820" max="2820" width="68.28515625" style="37" customWidth="1"/>
    <col min="2821" max="2821" width="17.42578125" style="37" customWidth="1"/>
    <col min="2822" max="2823" width="16.42578125" style="37" customWidth="1"/>
    <col min="2824" max="2824" width="70.28515625" style="37" customWidth="1"/>
    <col min="2825" max="2825" width="18.5703125" style="37" customWidth="1"/>
    <col min="2826" max="2826" width="16.28515625" style="37" customWidth="1"/>
    <col min="2827" max="2827" width="13.7109375" style="37" bestFit="1" customWidth="1"/>
    <col min="2828" max="3072" width="9.28515625" style="37"/>
    <col min="3073" max="3073" width="4" style="37" customWidth="1"/>
    <col min="3074" max="3074" width="6.28515625" style="37" customWidth="1"/>
    <col min="3075" max="3075" width="10.28515625" style="37" customWidth="1"/>
    <col min="3076" max="3076" width="68.28515625" style="37" customWidth="1"/>
    <col min="3077" max="3077" width="17.42578125" style="37" customWidth="1"/>
    <col min="3078" max="3079" width="16.42578125" style="37" customWidth="1"/>
    <col min="3080" max="3080" width="70.28515625" style="37" customWidth="1"/>
    <col min="3081" max="3081" width="18.5703125" style="37" customWidth="1"/>
    <col min="3082" max="3082" width="16.28515625" style="37" customWidth="1"/>
    <col min="3083" max="3083" width="13.7109375" style="37" bestFit="1" customWidth="1"/>
    <col min="3084" max="3328" width="9.28515625" style="37"/>
    <col min="3329" max="3329" width="4" style="37" customWidth="1"/>
    <col min="3330" max="3330" width="6.28515625" style="37" customWidth="1"/>
    <col min="3331" max="3331" width="10.28515625" style="37" customWidth="1"/>
    <col min="3332" max="3332" width="68.28515625" style="37" customWidth="1"/>
    <col min="3333" max="3333" width="17.42578125" style="37" customWidth="1"/>
    <col min="3334" max="3335" width="16.42578125" style="37" customWidth="1"/>
    <col min="3336" max="3336" width="70.28515625" style="37" customWidth="1"/>
    <col min="3337" max="3337" width="18.5703125" style="37" customWidth="1"/>
    <col min="3338" max="3338" width="16.28515625" style="37" customWidth="1"/>
    <col min="3339" max="3339" width="13.7109375" style="37" bestFit="1" customWidth="1"/>
    <col min="3340" max="3584" width="9.28515625" style="37"/>
    <col min="3585" max="3585" width="4" style="37" customWidth="1"/>
    <col min="3586" max="3586" width="6.28515625" style="37" customWidth="1"/>
    <col min="3587" max="3587" width="10.28515625" style="37" customWidth="1"/>
    <col min="3588" max="3588" width="68.28515625" style="37" customWidth="1"/>
    <col min="3589" max="3589" width="17.42578125" style="37" customWidth="1"/>
    <col min="3590" max="3591" width="16.42578125" style="37" customWidth="1"/>
    <col min="3592" max="3592" width="70.28515625" style="37" customWidth="1"/>
    <col min="3593" max="3593" width="18.5703125" style="37" customWidth="1"/>
    <col min="3594" max="3594" width="16.28515625" style="37" customWidth="1"/>
    <col min="3595" max="3595" width="13.7109375" style="37" bestFit="1" customWidth="1"/>
    <col min="3596" max="3840" width="9.28515625" style="37"/>
    <col min="3841" max="3841" width="4" style="37" customWidth="1"/>
    <col min="3842" max="3842" width="6.28515625" style="37" customWidth="1"/>
    <col min="3843" max="3843" width="10.28515625" style="37" customWidth="1"/>
    <col min="3844" max="3844" width="68.28515625" style="37" customWidth="1"/>
    <col min="3845" max="3845" width="17.42578125" style="37" customWidth="1"/>
    <col min="3846" max="3847" width="16.42578125" style="37" customWidth="1"/>
    <col min="3848" max="3848" width="70.28515625" style="37" customWidth="1"/>
    <col min="3849" max="3849" width="18.5703125" style="37" customWidth="1"/>
    <col min="3850" max="3850" width="16.28515625" style="37" customWidth="1"/>
    <col min="3851" max="3851" width="13.7109375" style="37" bestFit="1" customWidth="1"/>
    <col min="3852" max="4096" width="9.28515625" style="37"/>
    <col min="4097" max="4097" width="4" style="37" customWidth="1"/>
    <col min="4098" max="4098" width="6.28515625" style="37" customWidth="1"/>
    <col min="4099" max="4099" width="10.28515625" style="37" customWidth="1"/>
    <col min="4100" max="4100" width="68.28515625" style="37" customWidth="1"/>
    <col min="4101" max="4101" width="17.42578125" style="37" customWidth="1"/>
    <col min="4102" max="4103" width="16.42578125" style="37" customWidth="1"/>
    <col min="4104" max="4104" width="70.28515625" style="37" customWidth="1"/>
    <col min="4105" max="4105" width="18.5703125" style="37" customWidth="1"/>
    <col min="4106" max="4106" width="16.28515625" style="37" customWidth="1"/>
    <col min="4107" max="4107" width="13.7109375" style="37" bestFit="1" customWidth="1"/>
    <col min="4108" max="4352" width="9.28515625" style="37"/>
    <col min="4353" max="4353" width="4" style="37" customWidth="1"/>
    <col min="4354" max="4354" width="6.28515625" style="37" customWidth="1"/>
    <col min="4355" max="4355" width="10.28515625" style="37" customWidth="1"/>
    <col min="4356" max="4356" width="68.28515625" style="37" customWidth="1"/>
    <col min="4357" max="4357" width="17.42578125" style="37" customWidth="1"/>
    <col min="4358" max="4359" width="16.42578125" style="37" customWidth="1"/>
    <col min="4360" max="4360" width="70.28515625" style="37" customWidth="1"/>
    <col min="4361" max="4361" width="18.5703125" style="37" customWidth="1"/>
    <col min="4362" max="4362" width="16.28515625" style="37" customWidth="1"/>
    <col min="4363" max="4363" width="13.7109375" style="37" bestFit="1" customWidth="1"/>
    <col min="4364" max="4608" width="9.28515625" style="37"/>
    <col min="4609" max="4609" width="4" style="37" customWidth="1"/>
    <col min="4610" max="4610" width="6.28515625" style="37" customWidth="1"/>
    <col min="4611" max="4611" width="10.28515625" style="37" customWidth="1"/>
    <col min="4612" max="4612" width="68.28515625" style="37" customWidth="1"/>
    <col min="4613" max="4613" width="17.42578125" style="37" customWidth="1"/>
    <col min="4614" max="4615" width="16.42578125" style="37" customWidth="1"/>
    <col min="4616" max="4616" width="70.28515625" style="37" customWidth="1"/>
    <col min="4617" max="4617" width="18.5703125" style="37" customWidth="1"/>
    <col min="4618" max="4618" width="16.28515625" style="37" customWidth="1"/>
    <col min="4619" max="4619" width="13.7109375" style="37" bestFit="1" customWidth="1"/>
    <col min="4620" max="4864" width="9.28515625" style="37"/>
    <col min="4865" max="4865" width="4" style="37" customWidth="1"/>
    <col min="4866" max="4866" width="6.28515625" style="37" customWidth="1"/>
    <col min="4867" max="4867" width="10.28515625" style="37" customWidth="1"/>
    <col min="4868" max="4868" width="68.28515625" style="37" customWidth="1"/>
    <col min="4869" max="4869" width="17.42578125" style="37" customWidth="1"/>
    <col min="4870" max="4871" width="16.42578125" style="37" customWidth="1"/>
    <col min="4872" max="4872" width="70.28515625" style="37" customWidth="1"/>
    <col min="4873" max="4873" width="18.5703125" style="37" customWidth="1"/>
    <col min="4874" max="4874" width="16.28515625" style="37" customWidth="1"/>
    <col min="4875" max="4875" width="13.7109375" style="37" bestFit="1" customWidth="1"/>
    <col min="4876" max="5120" width="9.28515625" style="37"/>
    <col min="5121" max="5121" width="4" style="37" customWidth="1"/>
    <col min="5122" max="5122" width="6.28515625" style="37" customWidth="1"/>
    <col min="5123" max="5123" width="10.28515625" style="37" customWidth="1"/>
    <col min="5124" max="5124" width="68.28515625" style="37" customWidth="1"/>
    <col min="5125" max="5125" width="17.42578125" style="37" customWidth="1"/>
    <col min="5126" max="5127" width="16.42578125" style="37" customWidth="1"/>
    <col min="5128" max="5128" width="70.28515625" style="37" customWidth="1"/>
    <col min="5129" max="5129" width="18.5703125" style="37" customWidth="1"/>
    <col min="5130" max="5130" width="16.28515625" style="37" customWidth="1"/>
    <col min="5131" max="5131" width="13.7109375" style="37" bestFit="1" customWidth="1"/>
    <col min="5132" max="5376" width="9.28515625" style="37"/>
    <col min="5377" max="5377" width="4" style="37" customWidth="1"/>
    <col min="5378" max="5378" width="6.28515625" style="37" customWidth="1"/>
    <col min="5379" max="5379" width="10.28515625" style="37" customWidth="1"/>
    <col min="5380" max="5380" width="68.28515625" style="37" customWidth="1"/>
    <col min="5381" max="5381" width="17.42578125" style="37" customWidth="1"/>
    <col min="5382" max="5383" width="16.42578125" style="37" customWidth="1"/>
    <col min="5384" max="5384" width="70.28515625" style="37" customWidth="1"/>
    <col min="5385" max="5385" width="18.5703125" style="37" customWidth="1"/>
    <col min="5386" max="5386" width="16.28515625" style="37" customWidth="1"/>
    <col min="5387" max="5387" width="13.7109375" style="37" bestFit="1" customWidth="1"/>
    <col min="5388" max="5632" width="9.28515625" style="37"/>
    <col min="5633" max="5633" width="4" style="37" customWidth="1"/>
    <col min="5634" max="5634" width="6.28515625" style="37" customWidth="1"/>
    <col min="5635" max="5635" width="10.28515625" style="37" customWidth="1"/>
    <col min="5636" max="5636" width="68.28515625" style="37" customWidth="1"/>
    <col min="5637" max="5637" width="17.42578125" style="37" customWidth="1"/>
    <col min="5638" max="5639" width="16.42578125" style="37" customWidth="1"/>
    <col min="5640" max="5640" width="70.28515625" style="37" customWidth="1"/>
    <col min="5641" max="5641" width="18.5703125" style="37" customWidth="1"/>
    <col min="5642" max="5642" width="16.28515625" style="37" customWidth="1"/>
    <col min="5643" max="5643" width="13.7109375" style="37" bestFit="1" customWidth="1"/>
    <col min="5644" max="5888" width="9.28515625" style="37"/>
    <col min="5889" max="5889" width="4" style="37" customWidth="1"/>
    <col min="5890" max="5890" width="6.28515625" style="37" customWidth="1"/>
    <col min="5891" max="5891" width="10.28515625" style="37" customWidth="1"/>
    <col min="5892" max="5892" width="68.28515625" style="37" customWidth="1"/>
    <col min="5893" max="5893" width="17.42578125" style="37" customWidth="1"/>
    <col min="5894" max="5895" width="16.42578125" style="37" customWidth="1"/>
    <col min="5896" max="5896" width="70.28515625" style="37" customWidth="1"/>
    <col min="5897" max="5897" width="18.5703125" style="37" customWidth="1"/>
    <col min="5898" max="5898" width="16.28515625" style="37" customWidth="1"/>
    <col min="5899" max="5899" width="13.7109375" style="37" bestFit="1" customWidth="1"/>
    <col min="5900" max="6144" width="9.28515625" style="37"/>
    <col min="6145" max="6145" width="4" style="37" customWidth="1"/>
    <col min="6146" max="6146" width="6.28515625" style="37" customWidth="1"/>
    <col min="6147" max="6147" width="10.28515625" style="37" customWidth="1"/>
    <col min="6148" max="6148" width="68.28515625" style="37" customWidth="1"/>
    <col min="6149" max="6149" width="17.42578125" style="37" customWidth="1"/>
    <col min="6150" max="6151" width="16.42578125" style="37" customWidth="1"/>
    <col min="6152" max="6152" width="70.28515625" style="37" customWidth="1"/>
    <col min="6153" max="6153" width="18.5703125" style="37" customWidth="1"/>
    <col min="6154" max="6154" width="16.28515625" style="37" customWidth="1"/>
    <col min="6155" max="6155" width="13.7109375" style="37" bestFit="1" customWidth="1"/>
    <col min="6156" max="6400" width="9.28515625" style="37"/>
    <col min="6401" max="6401" width="4" style="37" customWidth="1"/>
    <col min="6402" max="6402" width="6.28515625" style="37" customWidth="1"/>
    <col min="6403" max="6403" width="10.28515625" style="37" customWidth="1"/>
    <col min="6404" max="6404" width="68.28515625" style="37" customWidth="1"/>
    <col min="6405" max="6405" width="17.42578125" style="37" customWidth="1"/>
    <col min="6406" max="6407" width="16.42578125" style="37" customWidth="1"/>
    <col min="6408" max="6408" width="70.28515625" style="37" customWidth="1"/>
    <col min="6409" max="6409" width="18.5703125" style="37" customWidth="1"/>
    <col min="6410" max="6410" width="16.28515625" style="37" customWidth="1"/>
    <col min="6411" max="6411" width="13.7109375" style="37" bestFit="1" customWidth="1"/>
    <col min="6412" max="6656" width="9.28515625" style="37"/>
    <col min="6657" max="6657" width="4" style="37" customWidth="1"/>
    <col min="6658" max="6658" width="6.28515625" style="37" customWidth="1"/>
    <col min="6659" max="6659" width="10.28515625" style="37" customWidth="1"/>
    <col min="6660" max="6660" width="68.28515625" style="37" customWidth="1"/>
    <col min="6661" max="6661" width="17.42578125" style="37" customWidth="1"/>
    <col min="6662" max="6663" width="16.42578125" style="37" customWidth="1"/>
    <col min="6664" max="6664" width="70.28515625" style="37" customWidth="1"/>
    <col min="6665" max="6665" width="18.5703125" style="37" customWidth="1"/>
    <col min="6666" max="6666" width="16.28515625" style="37" customWidth="1"/>
    <col min="6667" max="6667" width="13.7109375" style="37" bestFit="1" customWidth="1"/>
    <col min="6668" max="6912" width="9.28515625" style="37"/>
    <col min="6913" max="6913" width="4" style="37" customWidth="1"/>
    <col min="6914" max="6914" width="6.28515625" style="37" customWidth="1"/>
    <col min="6915" max="6915" width="10.28515625" style="37" customWidth="1"/>
    <col min="6916" max="6916" width="68.28515625" style="37" customWidth="1"/>
    <col min="6917" max="6917" width="17.42578125" style="37" customWidth="1"/>
    <col min="6918" max="6919" width="16.42578125" style="37" customWidth="1"/>
    <col min="6920" max="6920" width="70.28515625" style="37" customWidth="1"/>
    <col min="6921" max="6921" width="18.5703125" style="37" customWidth="1"/>
    <col min="6922" max="6922" width="16.28515625" style="37" customWidth="1"/>
    <col min="6923" max="6923" width="13.7109375" style="37" bestFit="1" customWidth="1"/>
    <col min="6924" max="7168" width="9.28515625" style="37"/>
    <col min="7169" max="7169" width="4" style="37" customWidth="1"/>
    <col min="7170" max="7170" width="6.28515625" style="37" customWidth="1"/>
    <col min="7171" max="7171" width="10.28515625" style="37" customWidth="1"/>
    <col min="7172" max="7172" width="68.28515625" style="37" customWidth="1"/>
    <col min="7173" max="7173" width="17.42578125" style="37" customWidth="1"/>
    <col min="7174" max="7175" width="16.42578125" style="37" customWidth="1"/>
    <col min="7176" max="7176" width="70.28515625" style="37" customWidth="1"/>
    <col min="7177" max="7177" width="18.5703125" style="37" customWidth="1"/>
    <col min="7178" max="7178" width="16.28515625" style="37" customWidth="1"/>
    <col min="7179" max="7179" width="13.7109375" style="37" bestFit="1" customWidth="1"/>
    <col min="7180" max="7424" width="9.28515625" style="37"/>
    <col min="7425" max="7425" width="4" style="37" customWidth="1"/>
    <col min="7426" max="7426" width="6.28515625" style="37" customWidth="1"/>
    <col min="7427" max="7427" width="10.28515625" style="37" customWidth="1"/>
    <col min="7428" max="7428" width="68.28515625" style="37" customWidth="1"/>
    <col min="7429" max="7429" width="17.42578125" style="37" customWidth="1"/>
    <col min="7430" max="7431" width="16.42578125" style="37" customWidth="1"/>
    <col min="7432" max="7432" width="70.28515625" style="37" customWidth="1"/>
    <col min="7433" max="7433" width="18.5703125" style="37" customWidth="1"/>
    <col min="7434" max="7434" width="16.28515625" style="37" customWidth="1"/>
    <col min="7435" max="7435" width="13.7109375" style="37" bestFit="1" customWidth="1"/>
    <col min="7436" max="7680" width="9.28515625" style="37"/>
    <col min="7681" max="7681" width="4" style="37" customWidth="1"/>
    <col min="7682" max="7682" width="6.28515625" style="37" customWidth="1"/>
    <col min="7683" max="7683" width="10.28515625" style="37" customWidth="1"/>
    <col min="7684" max="7684" width="68.28515625" style="37" customWidth="1"/>
    <col min="7685" max="7685" width="17.42578125" style="37" customWidth="1"/>
    <col min="7686" max="7687" width="16.42578125" style="37" customWidth="1"/>
    <col min="7688" max="7688" width="70.28515625" style="37" customWidth="1"/>
    <col min="7689" max="7689" width="18.5703125" style="37" customWidth="1"/>
    <col min="7690" max="7690" width="16.28515625" style="37" customWidth="1"/>
    <col min="7691" max="7691" width="13.7109375" style="37" bestFit="1" customWidth="1"/>
    <col min="7692" max="7936" width="9.28515625" style="37"/>
    <col min="7937" max="7937" width="4" style="37" customWidth="1"/>
    <col min="7938" max="7938" width="6.28515625" style="37" customWidth="1"/>
    <col min="7939" max="7939" width="10.28515625" style="37" customWidth="1"/>
    <col min="7940" max="7940" width="68.28515625" style="37" customWidth="1"/>
    <col min="7941" max="7941" width="17.42578125" style="37" customWidth="1"/>
    <col min="7942" max="7943" width="16.42578125" style="37" customWidth="1"/>
    <col min="7944" max="7944" width="70.28515625" style="37" customWidth="1"/>
    <col min="7945" max="7945" width="18.5703125" style="37" customWidth="1"/>
    <col min="7946" max="7946" width="16.28515625" style="37" customWidth="1"/>
    <col min="7947" max="7947" width="13.7109375" style="37" bestFit="1" customWidth="1"/>
    <col min="7948" max="8192" width="9.28515625" style="37"/>
    <col min="8193" max="8193" width="4" style="37" customWidth="1"/>
    <col min="8194" max="8194" width="6.28515625" style="37" customWidth="1"/>
    <col min="8195" max="8195" width="10.28515625" style="37" customWidth="1"/>
    <col min="8196" max="8196" width="68.28515625" style="37" customWidth="1"/>
    <col min="8197" max="8197" width="17.42578125" style="37" customWidth="1"/>
    <col min="8198" max="8199" width="16.42578125" style="37" customWidth="1"/>
    <col min="8200" max="8200" width="70.28515625" style="37" customWidth="1"/>
    <col min="8201" max="8201" width="18.5703125" style="37" customWidth="1"/>
    <col min="8202" max="8202" width="16.28515625" style="37" customWidth="1"/>
    <col min="8203" max="8203" width="13.7109375" style="37" bestFit="1" customWidth="1"/>
    <col min="8204" max="8448" width="9.28515625" style="37"/>
    <col min="8449" max="8449" width="4" style="37" customWidth="1"/>
    <col min="8450" max="8450" width="6.28515625" style="37" customWidth="1"/>
    <col min="8451" max="8451" width="10.28515625" style="37" customWidth="1"/>
    <col min="8452" max="8452" width="68.28515625" style="37" customWidth="1"/>
    <col min="8453" max="8453" width="17.42578125" style="37" customWidth="1"/>
    <col min="8454" max="8455" width="16.42578125" style="37" customWidth="1"/>
    <col min="8456" max="8456" width="70.28515625" style="37" customWidth="1"/>
    <col min="8457" max="8457" width="18.5703125" style="37" customWidth="1"/>
    <col min="8458" max="8458" width="16.28515625" style="37" customWidth="1"/>
    <col min="8459" max="8459" width="13.7109375" style="37" bestFit="1" customWidth="1"/>
    <col min="8460" max="8704" width="9.28515625" style="37"/>
    <col min="8705" max="8705" width="4" style="37" customWidth="1"/>
    <col min="8706" max="8706" width="6.28515625" style="37" customWidth="1"/>
    <col min="8707" max="8707" width="10.28515625" style="37" customWidth="1"/>
    <col min="8708" max="8708" width="68.28515625" style="37" customWidth="1"/>
    <col min="8709" max="8709" width="17.42578125" style="37" customWidth="1"/>
    <col min="8710" max="8711" width="16.42578125" style="37" customWidth="1"/>
    <col min="8712" max="8712" width="70.28515625" style="37" customWidth="1"/>
    <col min="8713" max="8713" width="18.5703125" style="37" customWidth="1"/>
    <col min="8714" max="8714" width="16.28515625" style="37" customWidth="1"/>
    <col min="8715" max="8715" width="13.7109375" style="37" bestFit="1" customWidth="1"/>
    <col min="8716" max="8960" width="9.28515625" style="37"/>
    <col min="8961" max="8961" width="4" style="37" customWidth="1"/>
    <col min="8962" max="8962" width="6.28515625" style="37" customWidth="1"/>
    <col min="8963" max="8963" width="10.28515625" style="37" customWidth="1"/>
    <col min="8964" max="8964" width="68.28515625" style="37" customWidth="1"/>
    <col min="8965" max="8965" width="17.42578125" style="37" customWidth="1"/>
    <col min="8966" max="8967" width="16.42578125" style="37" customWidth="1"/>
    <col min="8968" max="8968" width="70.28515625" style="37" customWidth="1"/>
    <col min="8969" max="8969" width="18.5703125" style="37" customWidth="1"/>
    <col min="8970" max="8970" width="16.28515625" style="37" customWidth="1"/>
    <col min="8971" max="8971" width="13.7109375" style="37" bestFit="1" customWidth="1"/>
    <col min="8972" max="9216" width="9.28515625" style="37"/>
    <col min="9217" max="9217" width="4" style="37" customWidth="1"/>
    <col min="9218" max="9218" width="6.28515625" style="37" customWidth="1"/>
    <col min="9219" max="9219" width="10.28515625" style="37" customWidth="1"/>
    <col min="9220" max="9220" width="68.28515625" style="37" customWidth="1"/>
    <col min="9221" max="9221" width="17.42578125" style="37" customWidth="1"/>
    <col min="9222" max="9223" width="16.42578125" style="37" customWidth="1"/>
    <col min="9224" max="9224" width="70.28515625" style="37" customWidth="1"/>
    <col min="9225" max="9225" width="18.5703125" style="37" customWidth="1"/>
    <col min="9226" max="9226" width="16.28515625" style="37" customWidth="1"/>
    <col min="9227" max="9227" width="13.7109375" style="37" bestFit="1" customWidth="1"/>
    <col min="9228" max="9472" width="9.28515625" style="37"/>
    <col min="9473" max="9473" width="4" style="37" customWidth="1"/>
    <col min="9474" max="9474" width="6.28515625" style="37" customWidth="1"/>
    <col min="9475" max="9475" width="10.28515625" style="37" customWidth="1"/>
    <col min="9476" max="9476" width="68.28515625" style="37" customWidth="1"/>
    <col min="9477" max="9477" width="17.42578125" style="37" customWidth="1"/>
    <col min="9478" max="9479" width="16.42578125" style="37" customWidth="1"/>
    <col min="9480" max="9480" width="70.28515625" style="37" customWidth="1"/>
    <col min="9481" max="9481" width="18.5703125" style="37" customWidth="1"/>
    <col min="9482" max="9482" width="16.28515625" style="37" customWidth="1"/>
    <col min="9483" max="9483" width="13.7109375" style="37" bestFit="1" customWidth="1"/>
    <col min="9484" max="9728" width="9.28515625" style="37"/>
    <col min="9729" max="9729" width="4" style="37" customWidth="1"/>
    <col min="9730" max="9730" width="6.28515625" style="37" customWidth="1"/>
    <col min="9731" max="9731" width="10.28515625" style="37" customWidth="1"/>
    <col min="9732" max="9732" width="68.28515625" style="37" customWidth="1"/>
    <col min="9733" max="9733" width="17.42578125" style="37" customWidth="1"/>
    <col min="9734" max="9735" width="16.42578125" style="37" customWidth="1"/>
    <col min="9736" max="9736" width="70.28515625" style="37" customWidth="1"/>
    <col min="9737" max="9737" width="18.5703125" style="37" customWidth="1"/>
    <col min="9738" max="9738" width="16.28515625" style="37" customWidth="1"/>
    <col min="9739" max="9739" width="13.7109375" style="37" bestFit="1" customWidth="1"/>
    <col min="9740" max="9984" width="9.28515625" style="37"/>
    <col min="9985" max="9985" width="4" style="37" customWidth="1"/>
    <col min="9986" max="9986" width="6.28515625" style="37" customWidth="1"/>
    <col min="9987" max="9987" width="10.28515625" style="37" customWidth="1"/>
    <col min="9988" max="9988" width="68.28515625" style="37" customWidth="1"/>
    <col min="9989" max="9989" width="17.42578125" style="37" customWidth="1"/>
    <col min="9990" max="9991" width="16.42578125" style="37" customWidth="1"/>
    <col min="9992" max="9992" width="70.28515625" style="37" customWidth="1"/>
    <col min="9993" max="9993" width="18.5703125" style="37" customWidth="1"/>
    <col min="9994" max="9994" width="16.28515625" style="37" customWidth="1"/>
    <col min="9995" max="9995" width="13.7109375" style="37" bestFit="1" customWidth="1"/>
    <col min="9996" max="10240" width="9.28515625" style="37"/>
    <col min="10241" max="10241" width="4" style="37" customWidth="1"/>
    <col min="10242" max="10242" width="6.28515625" style="37" customWidth="1"/>
    <col min="10243" max="10243" width="10.28515625" style="37" customWidth="1"/>
    <col min="10244" max="10244" width="68.28515625" style="37" customWidth="1"/>
    <col min="10245" max="10245" width="17.42578125" style="37" customWidth="1"/>
    <col min="10246" max="10247" width="16.42578125" style="37" customWidth="1"/>
    <col min="10248" max="10248" width="70.28515625" style="37" customWidth="1"/>
    <col min="10249" max="10249" width="18.5703125" style="37" customWidth="1"/>
    <col min="10250" max="10250" width="16.28515625" style="37" customWidth="1"/>
    <col min="10251" max="10251" width="13.7109375" style="37" bestFit="1" customWidth="1"/>
    <col min="10252" max="10496" width="9.28515625" style="37"/>
    <col min="10497" max="10497" width="4" style="37" customWidth="1"/>
    <col min="10498" max="10498" width="6.28515625" style="37" customWidth="1"/>
    <col min="10499" max="10499" width="10.28515625" style="37" customWidth="1"/>
    <col min="10500" max="10500" width="68.28515625" style="37" customWidth="1"/>
    <col min="10501" max="10501" width="17.42578125" style="37" customWidth="1"/>
    <col min="10502" max="10503" width="16.42578125" style="37" customWidth="1"/>
    <col min="10504" max="10504" width="70.28515625" style="37" customWidth="1"/>
    <col min="10505" max="10505" width="18.5703125" style="37" customWidth="1"/>
    <col min="10506" max="10506" width="16.28515625" style="37" customWidth="1"/>
    <col min="10507" max="10507" width="13.7109375" style="37" bestFit="1" customWidth="1"/>
    <col min="10508" max="10752" width="9.28515625" style="37"/>
    <col min="10753" max="10753" width="4" style="37" customWidth="1"/>
    <col min="10754" max="10754" width="6.28515625" style="37" customWidth="1"/>
    <col min="10755" max="10755" width="10.28515625" style="37" customWidth="1"/>
    <col min="10756" max="10756" width="68.28515625" style="37" customWidth="1"/>
    <col min="10757" max="10757" width="17.42578125" style="37" customWidth="1"/>
    <col min="10758" max="10759" width="16.42578125" style="37" customWidth="1"/>
    <col min="10760" max="10760" width="70.28515625" style="37" customWidth="1"/>
    <col min="10761" max="10761" width="18.5703125" style="37" customWidth="1"/>
    <col min="10762" max="10762" width="16.28515625" style="37" customWidth="1"/>
    <col min="10763" max="10763" width="13.7109375" style="37" bestFit="1" customWidth="1"/>
    <col min="10764" max="11008" width="9.28515625" style="37"/>
    <col min="11009" max="11009" width="4" style="37" customWidth="1"/>
    <col min="11010" max="11010" width="6.28515625" style="37" customWidth="1"/>
    <col min="11011" max="11011" width="10.28515625" style="37" customWidth="1"/>
    <col min="11012" max="11012" width="68.28515625" style="37" customWidth="1"/>
    <col min="11013" max="11013" width="17.42578125" style="37" customWidth="1"/>
    <col min="11014" max="11015" width="16.42578125" style="37" customWidth="1"/>
    <col min="11016" max="11016" width="70.28515625" style="37" customWidth="1"/>
    <col min="11017" max="11017" width="18.5703125" style="37" customWidth="1"/>
    <col min="11018" max="11018" width="16.28515625" style="37" customWidth="1"/>
    <col min="11019" max="11019" width="13.7109375" style="37" bestFit="1" customWidth="1"/>
    <col min="11020" max="11264" width="9.28515625" style="37"/>
    <col min="11265" max="11265" width="4" style="37" customWidth="1"/>
    <col min="11266" max="11266" width="6.28515625" style="37" customWidth="1"/>
    <col min="11267" max="11267" width="10.28515625" style="37" customWidth="1"/>
    <col min="11268" max="11268" width="68.28515625" style="37" customWidth="1"/>
    <col min="11269" max="11269" width="17.42578125" style="37" customWidth="1"/>
    <col min="11270" max="11271" width="16.42578125" style="37" customWidth="1"/>
    <col min="11272" max="11272" width="70.28515625" style="37" customWidth="1"/>
    <col min="11273" max="11273" width="18.5703125" style="37" customWidth="1"/>
    <col min="11274" max="11274" width="16.28515625" style="37" customWidth="1"/>
    <col min="11275" max="11275" width="13.7109375" style="37" bestFit="1" customWidth="1"/>
    <col min="11276" max="11520" width="9.28515625" style="37"/>
    <col min="11521" max="11521" width="4" style="37" customWidth="1"/>
    <col min="11522" max="11522" width="6.28515625" style="37" customWidth="1"/>
    <col min="11523" max="11523" width="10.28515625" style="37" customWidth="1"/>
    <col min="11524" max="11524" width="68.28515625" style="37" customWidth="1"/>
    <col min="11525" max="11525" width="17.42578125" style="37" customWidth="1"/>
    <col min="11526" max="11527" width="16.42578125" style="37" customWidth="1"/>
    <col min="11528" max="11528" width="70.28515625" style="37" customWidth="1"/>
    <col min="11529" max="11529" width="18.5703125" style="37" customWidth="1"/>
    <col min="11530" max="11530" width="16.28515625" style="37" customWidth="1"/>
    <col min="11531" max="11531" width="13.7109375" style="37" bestFit="1" customWidth="1"/>
    <col min="11532" max="11776" width="9.28515625" style="37"/>
    <col min="11777" max="11777" width="4" style="37" customWidth="1"/>
    <col min="11778" max="11778" width="6.28515625" style="37" customWidth="1"/>
    <col min="11779" max="11779" width="10.28515625" style="37" customWidth="1"/>
    <col min="11780" max="11780" width="68.28515625" style="37" customWidth="1"/>
    <col min="11781" max="11781" width="17.42578125" style="37" customWidth="1"/>
    <col min="11782" max="11783" width="16.42578125" style="37" customWidth="1"/>
    <col min="11784" max="11784" width="70.28515625" style="37" customWidth="1"/>
    <col min="11785" max="11785" width="18.5703125" style="37" customWidth="1"/>
    <col min="11786" max="11786" width="16.28515625" style="37" customWidth="1"/>
    <col min="11787" max="11787" width="13.7109375" style="37" bestFit="1" customWidth="1"/>
    <col min="11788" max="12032" width="9.28515625" style="37"/>
    <col min="12033" max="12033" width="4" style="37" customWidth="1"/>
    <col min="12034" max="12034" width="6.28515625" style="37" customWidth="1"/>
    <col min="12035" max="12035" width="10.28515625" style="37" customWidth="1"/>
    <col min="12036" max="12036" width="68.28515625" style="37" customWidth="1"/>
    <col min="12037" max="12037" width="17.42578125" style="37" customWidth="1"/>
    <col min="12038" max="12039" width="16.42578125" style="37" customWidth="1"/>
    <col min="12040" max="12040" width="70.28515625" style="37" customWidth="1"/>
    <col min="12041" max="12041" width="18.5703125" style="37" customWidth="1"/>
    <col min="12042" max="12042" width="16.28515625" style="37" customWidth="1"/>
    <col min="12043" max="12043" width="13.7109375" style="37" bestFit="1" customWidth="1"/>
    <col min="12044" max="12288" width="9.28515625" style="37"/>
    <col min="12289" max="12289" width="4" style="37" customWidth="1"/>
    <col min="12290" max="12290" width="6.28515625" style="37" customWidth="1"/>
    <col min="12291" max="12291" width="10.28515625" style="37" customWidth="1"/>
    <col min="12292" max="12292" width="68.28515625" style="37" customWidth="1"/>
    <col min="12293" max="12293" width="17.42578125" style="37" customWidth="1"/>
    <col min="12294" max="12295" width="16.42578125" style="37" customWidth="1"/>
    <col min="12296" max="12296" width="70.28515625" style="37" customWidth="1"/>
    <col min="12297" max="12297" width="18.5703125" style="37" customWidth="1"/>
    <col min="12298" max="12298" width="16.28515625" style="37" customWidth="1"/>
    <col min="12299" max="12299" width="13.7109375" style="37" bestFit="1" customWidth="1"/>
    <col min="12300" max="12544" width="9.28515625" style="37"/>
    <col min="12545" max="12545" width="4" style="37" customWidth="1"/>
    <col min="12546" max="12546" width="6.28515625" style="37" customWidth="1"/>
    <col min="12547" max="12547" width="10.28515625" style="37" customWidth="1"/>
    <col min="12548" max="12548" width="68.28515625" style="37" customWidth="1"/>
    <col min="12549" max="12549" width="17.42578125" style="37" customWidth="1"/>
    <col min="12550" max="12551" width="16.42578125" style="37" customWidth="1"/>
    <col min="12552" max="12552" width="70.28515625" style="37" customWidth="1"/>
    <col min="12553" max="12553" width="18.5703125" style="37" customWidth="1"/>
    <col min="12554" max="12554" width="16.28515625" style="37" customWidth="1"/>
    <col min="12555" max="12555" width="13.7109375" style="37" bestFit="1" customWidth="1"/>
    <col min="12556" max="12800" width="9.28515625" style="37"/>
    <col min="12801" max="12801" width="4" style="37" customWidth="1"/>
    <col min="12802" max="12802" width="6.28515625" style="37" customWidth="1"/>
    <col min="12803" max="12803" width="10.28515625" style="37" customWidth="1"/>
    <col min="12804" max="12804" width="68.28515625" style="37" customWidth="1"/>
    <col min="12805" max="12805" width="17.42578125" style="37" customWidth="1"/>
    <col min="12806" max="12807" width="16.42578125" style="37" customWidth="1"/>
    <col min="12808" max="12808" width="70.28515625" style="37" customWidth="1"/>
    <col min="12809" max="12809" width="18.5703125" style="37" customWidth="1"/>
    <col min="12810" max="12810" width="16.28515625" style="37" customWidth="1"/>
    <col min="12811" max="12811" width="13.7109375" style="37" bestFit="1" customWidth="1"/>
    <col min="12812" max="13056" width="9.28515625" style="37"/>
    <col min="13057" max="13057" width="4" style="37" customWidth="1"/>
    <col min="13058" max="13058" width="6.28515625" style="37" customWidth="1"/>
    <col min="13059" max="13059" width="10.28515625" style="37" customWidth="1"/>
    <col min="13060" max="13060" width="68.28515625" style="37" customWidth="1"/>
    <col min="13061" max="13061" width="17.42578125" style="37" customWidth="1"/>
    <col min="13062" max="13063" width="16.42578125" style="37" customWidth="1"/>
    <col min="13064" max="13064" width="70.28515625" style="37" customWidth="1"/>
    <col min="13065" max="13065" width="18.5703125" style="37" customWidth="1"/>
    <col min="13066" max="13066" width="16.28515625" style="37" customWidth="1"/>
    <col min="13067" max="13067" width="13.7109375" style="37" bestFit="1" customWidth="1"/>
    <col min="13068" max="13312" width="9.28515625" style="37"/>
    <col min="13313" max="13313" width="4" style="37" customWidth="1"/>
    <col min="13314" max="13314" width="6.28515625" style="37" customWidth="1"/>
    <col min="13315" max="13315" width="10.28515625" style="37" customWidth="1"/>
    <col min="13316" max="13316" width="68.28515625" style="37" customWidth="1"/>
    <col min="13317" max="13317" width="17.42578125" style="37" customWidth="1"/>
    <col min="13318" max="13319" width="16.42578125" style="37" customWidth="1"/>
    <col min="13320" max="13320" width="70.28515625" style="37" customWidth="1"/>
    <col min="13321" max="13321" width="18.5703125" style="37" customWidth="1"/>
    <col min="13322" max="13322" width="16.28515625" style="37" customWidth="1"/>
    <col min="13323" max="13323" width="13.7109375" style="37" bestFit="1" customWidth="1"/>
    <col min="13324" max="13568" width="9.28515625" style="37"/>
    <col min="13569" max="13569" width="4" style="37" customWidth="1"/>
    <col min="13570" max="13570" width="6.28515625" style="37" customWidth="1"/>
    <col min="13571" max="13571" width="10.28515625" style="37" customWidth="1"/>
    <col min="13572" max="13572" width="68.28515625" style="37" customWidth="1"/>
    <col min="13573" max="13573" width="17.42578125" style="37" customWidth="1"/>
    <col min="13574" max="13575" width="16.42578125" style="37" customWidth="1"/>
    <col min="13576" max="13576" width="70.28515625" style="37" customWidth="1"/>
    <col min="13577" max="13577" width="18.5703125" style="37" customWidth="1"/>
    <col min="13578" max="13578" width="16.28515625" style="37" customWidth="1"/>
    <col min="13579" max="13579" width="13.7109375" style="37" bestFit="1" customWidth="1"/>
    <col min="13580" max="13824" width="9.28515625" style="37"/>
    <col min="13825" max="13825" width="4" style="37" customWidth="1"/>
    <col min="13826" max="13826" width="6.28515625" style="37" customWidth="1"/>
    <col min="13827" max="13827" width="10.28515625" style="37" customWidth="1"/>
    <col min="13828" max="13828" width="68.28515625" style="37" customWidth="1"/>
    <col min="13829" max="13829" width="17.42578125" style="37" customWidth="1"/>
    <col min="13830" max="13831" width="16.42578125" style="37" customWidth="1"/>
    <col min="13832" max="13832" width="70.28515625" style="37" customWidth="1"/>
    <col min="13833" max="13833" width="18.5703125" style="37" customWidth="1"/>
    <col min="13834" max="13834" width="16.28515625" style="37" customWidth="1"/>
    <col min="13835" max="13835" width="13.7109375" style="37" bestFit="1" customWidth="1"/>
    <col min="13836" max="14080" width="9.28515625" style="37"/>
    <col min="14081" max="14081" width="4" style="37" customWidth="1"/>
    <col min="14082" max="14082" width="6.28515625" style="37" customWidth="1"/>
    <col min="14083" max="14083" width="10.28515625" style="37" customWidth="1"/>
    <col min="14084" max="14084" width="68.28515625" style="37" customWidth="1"/>
    <col min="14085" max="14085" width="17.42578125" style="37" customWidth="1"/>
    <col min="14086" max="14087" width="16.42578125" style="37" customWidth="1"/>
    <col min="14088" max="14088" width="70.28515625" style="37" customWidth="1"/>
    <col min="14089" max="14089" width="18.5703125" style="37" customWidth="1"/>
    <col min="14090" max="14090" width="16.28515625" style="37" customWidth="1"/>
    <col min="14091" max="14091" width="13.7109375" style="37" bestFit="1" customWidth="1"/>
    <col min="14092" max="14336" width="9.28515625" style="37"/>
    <col min="14337" max="14337" width="4" style="37" customWidth="1"/>
    <col min="14338" max="14338" width="6.28515625" style="37" customWidth="1"/>
    <col min="14339" max="14339" width="10.28515625" style="37" customWidth="1"/>
    <col min="14340" max="14340" width="68.28515625" style="37" customWidth="1"/>
    <col min="14341" max="14341" width="17.42578125" style="37" customWidth="1"/>
    <col min="14342" max="14343" width="16.42578125" style="37" customWidth="1"/>
    <col min="14344" max="14344" width="70.28515625" style="37" customWidth="1"/>
    <col min="14345" max="14345" width="18.5703125" style="37" customWidth="1"/>
    <col min="14346" max="14346" width="16.28515625" style="37" customWidth="1"/>
    <col min="14347" max="14347" width="13.7109375" style="37" bestFit="1" customWidth="1"/>
    <col min="14348" max="14592" width="9.28515625" style="37"/>
    <col min="14593" max="14593" width="4" style="37" customWidth="1"/>
    <col min="14594" max="14594" width="6.28515625" style="37" customWidth="1"/>
    <col min="14595" max="14595" width="10.28515625" style="37" customWidth="1"/>
    <col min="14596" max="14596" width="68.28515625" style="37" customWidth="1"/>
    <col min="14597" max="14597" width="17.42578125" style="37" customWidth="1"/>
    <col min="14598" max="14599" width="16.42578125" style="37" customWidth="1"/>
    <col min="14600" max="14600" width="70.28515625" style="37" customWidth="1"/>
    <col min="14601" max="14601" width="18.5703125" style="37" customWidth="1"/>
    <col min="14602" max="14602" width="16.28515625" style="37" customWidth="1"/>
    <col min="14603" max="14603" width="13.7109375" style="37" bestFit="1" customWidth="1"/>
    <col min="14604" max="14848" width="9.28515625" style="37"/>
    <col min="14849" max="14849" width="4" style="37" customWidth="1"/>
    <col min="14850" max="14850" width="6.28515625" style="37" customWidth="1"/>
    <col min="14851" max="14851" width="10.28515625" style="37" customWidth="1"/>
    <col min="14852" max="14852" width="68.28515625" style="37" customWidth="1"/>
    <col min="14853" max="14853" width="17.42578125" style="37" customWidth="1"/>
    <col min="14854" max="14855" width="16.42578125" style="37" customWidth="1"/>
    <col min="14856" max="14856" width="70.28515625" style="37" customWidth="1"/>
    <col min="14857" max="14857" width="18.5703125" style="37" customWidth="1"/>
    <col min="14858" max="14858" width="16.28515625" style="37" customWidth="1"/>
    <col min="14859" max="14859" width="13.7109375" style="37" bestFit="1" customWidth="1"/>
    <col min="14860" max="15104" width="9.28515625" style="37"/>
    <col min="15105" max="15105" width="4" style="37" customWidth="1"/>
    <col min="15106" max="15106" width="6.28515625" style="37" customWidth="1"/>
    <col min="15107" max="15107" width="10.28515625" style="37" customWidth="1"/>
    <col min="15108" max="15108" width="68.28515625" style="37" customWidth="1"/>
    <col min="15109" max="15109" width="17.42578125" style="37" customWidth="1"/>
    <col min="15110" max="15111" width="16.42578125" style="37" customWidth="1"/>
    <col min="15112" max="15112" width="70.28515625" style="37" customWidth="1"/>
    <col min="15113" max="15113" width="18.5703125" style="37" customWidth="1"/>
    <col min="15114" max="15114" width="16.28515625" style="37" customWidth="1"/>
    <col min="15115" max="15115" width="13.7109375" style="37" bestFit="1" customWidth="1"/>
    <col min="15116" max="15360" width="9.28515625" style="37"/>
    <col min="15361" max="15361" width="4" style="37" customWidth="1"/>
    <col min="15362" max="15362" width="6.28515625" style="37" customWidth="1"/>
    <col min="15363" max="15363" width="10.28515625" style="37" customWidth="1"/>
    <col min="15364" max="15364" width="68.28515625" style="37" customWidth="1"/>
    <col min="15365" max="15365" width="17.42578125" style="37" customWidth="1"/>
    <col min="15366" max="15367" width="16.42578125" style="37" customWidth="1"/>
    <col min="15368" max="15368" width="70.28515625" style="37" customWidth="1"/>
    <col min="15369" max="15369" width="18.5703125" style="37" customWidth="1"/>
    <col min="15370" max="15370" width="16.28515625" style="37" customWidth="1"/>
    <col min="15371" max="15371" width="13.7109375" style="37" bestFit="1" customWidth="1"/>
    <col min="15372" max="15616" width="9.28515625" style="37"/>
    <col min="15617" max="15617" width="4" style="37" customWidth="1"/>
    <col min="15618" max="15618" width="6.28515625" style="37" customWidth="1"/>
    <col min="15619" max="15619" width="10.28515625" style="37" customWidth="1"/>
    <col min="15620" max="15620" width="68.28515625" style="37" customWidth="1"/>
    <col min="15621" max="15621" width="17.42578125" style="37" customWidth="1"/>
    <col min="15622" max="15623" width="16.42578125" style="37" customWidth="1"/>
    <col min="15624" max="15624" width="70.28515625" style="37" customWidth="1"/>
    <col min="15625" max="15625" width="18.5703125" style="37" customWidth="1"/>
    <col min="15626" max="15626" width="16.28515625" style="37" customWidth="1"/>
    <col min="15627" max="15627" width="13.7109375" style="37" bestFit="1" customWidth="1"/>
    <col min="15628" max="15872" width="9.28515625" style="37"/>
    <col min="15873" max="15873" width="4" style="37" customWidth="1"/>
    <col min="15874" max="15874" width="6.28515625" style="37" customWidth="1"/>
    <col min="15875" max="15875" width="10.28515625" style="37" customWidth="1"/>
    <col min="15876" max="15876" width="68.28515625" style="37" customWidth="1"/>
    <col min="15877" max="15877" width="17.42578125" style="37" customWidth="1"/>
    <col min="15878" max="15879" width="16.42578125" style="37" customWidth="1"/>
    <col min="15880" max="15880" width="70.28515625" style="37" customWidth="1"/>
    <col min="15881" max="15881" width="18.5703125" style="37" customWidth="1"/>
    <col min="15882" max="15882" width="16.28515625" style="37" customWidth="1"/>
    <col min="15883" max="15883" width="13.7109375" style="37" bestFit="1" customWidth="1"/>
    <col min="15884" max="16128" width="9.28515625" style="37"/>
    <col min="16129" max="16129" width="4" style="37" customWidth="1"/>
    <col min="16130" max="16130" width="6.28515625" style="37" customWidth="1"/>
    <col min="16131" max="16131" width="10.28515625" style="37" customWidth="1"/>
    <col min="16132" max="16132" width="68.28515625" style="37" customWidth="1"/>
    <col min="16133" max="16133" width="17.42578125" style="37" customWidth="1"/>
    <col min="16134" max="16135" width="16.42578125" style="37" customWidth="1"/>
    <col min="16136" max="16136" width="70.28515625" style="37" customWidth="1"/>
    <col min="16137" max="16137" width="18.5703125" style="37" customWidth="1"/>
    <col min="16138" max="16138" width="16.28515625" style="37" customWidth="1"/>
    <col min="16139" max="16139" width="13.7109375" style="37" bestFit="1" customWidth="1"/>
    <col min="16140" max="16384" width="9.28515625" style="37"/>
  </cols>
  <sheetData>
    <row r="1" spans="1:10" ht="17.25" customHeight="1">
      <c r="A1" s="535"/>
      <c r="B1" s="535"/>
      <c r="C1" s="535"/>
      <c r="F1" s="535"/>
      <c r="G1" s="535"/>
      <c r="H1" s="34"/>
      <c r="J1" s="537" t="s">
        <v>794</v>
      </c>
    </row>
    <row r="2" spans="1:10" s="60" customFormat="1" ht="33.75" customHeight="1">
      <c r="A2" s="1672" t="s">
        <v>960</v>
      </c>
      <c r="B2" s="1672"/>
      <c r="C2" s="1672"/>
      <c r="D2" s="1672"/>
      <c r="E2" s="1672"/>
      <c r="F2" s="1672"/>
      <c r="G2" s="1672"/>
      <c r="H2" s="1672"/>
      <c r="I2" s="1672"/>
      <c r="J2" s="1672"/>
    </row>
    <row r="3" spans="1:10" ht="15.75">
      <c r="D3" s="539"/>
      <c r="E3" s="540"/>
      <c r="I3" s="541"/>
      <c r="J3" s="542" t="s">
        <v>826</v>
      </c>
    </row>
    <row r="4" spans="1:10" ht="18.75">
      <c r="A4" s="1860" t="s">
        <v>827</v>
      </c>
      <c r="B4" s="1870"/>
      <c r="C4" s="1870"/>
      <c r="D4" s="1870"/>
      <c r="E4" s="1861"/>
      <c r="F4" s="1860" t="s">
        <v>828</v>
      </c>
      <c r="G4" s="1871"/>
      <c r="H4" s="1871"/>
      <c r="I4" s="1872"/>
      <c r="J4" s="1873" t="s">
        <v>829</v>
      </c>
    </row>
    <row r="5" spans="1:10" ht="38.25" customHeight="1">
      <c r="A5" s="543" t="s">
        <v>313</v>
      </c>
      <c r="B5" s="1860" t="s">
        <v>831</v>
      </c>
      <c r="C5" s="1861"/>
      <c r="D5" s="544" t="s">
        <v>830</v>
      </c>
      <c r="E5" s="544" t="s">
        <v>60</v>
      </c>
      <c r="F5" s="1860" t="s">
        <v>831</v>
      </c>
      <c r="G5" s="1861"/>
      <c r="H5" s="544" t="s">
        <v>830</v>
      </c>
      <c r="I5" s="544" t="s">
        <v>60</v>
      </c>
      <c r="J5" s="1874"/>
    </row>
    <row r="6" spans="1:10" ht="23.25" customHeight="1">
      <c r="A6" s="410"/>
      <c r="B6" s="410"/>
      <c r="C6" s="410"/>
      <c r="D6" s="545" t="s">
        <v>646</v>
      </c>
      <c r="E6" s="546">
        <f>+E7+E33-E71</f>
        <v>131773626617</v>
      </c>
      <c r="F6" s="545"/>
      <c r="G6" s="545"/>
      <c r="H6" s="545"/>
      <c r="I6" s="546">
        <f>+I7+I33-I71</f>
        <v>119830063365</v>
      </c>
      <c r="J6" s="546">
        <f t="shared" ref="J6:J13" si="0">+E6-I6</f>
        <v>11943563252</v>
      </c>
    </row>
    <row r="7" spans="1:10" ht="23.25" customHeight="1">
      <c r="A7" s="547"/>
      <c r="B7" s="547">
        <v>2388</v>
      </c>
      <c r="C7" s="548">
        <v>44905</v>
      </c>
      <c r="D7" s="547" t="s">
        <v>832</v>
      </c>
      <c r="E7" s="549">
        <f>SUM(E8:E12)+E22+E23</f>
        <v>106463000000</v>
      </c>
      <c r="F7" s="550"/>
      <c r="G7" s="550"/>
      <c r="H7" s="551"/>
      <c r="I7" s="549">
        <f>SUM(I8:I12)+I22+I23</f>
        <v>94731000000</v>
      </c>
      <c r="J7" s="546">
        <f t="shared" si="0"/>
        <v>11732000000</v>
      </c>
    </row>
    <row r="8" spans="1:10" ht="23.25" customHeight="1">
      <c r="A8" s="718">
        <v>1</v>
      </c>
      <c r="B8" s="719"/>
      <c r="C8" s="720"/>
      <c r="D8" s="721" t="s">
        <v>554</v>
      </c>
      <c r="E8" s="722">
        <v>140000000</v>
      </c>
      <c r="F8" s="390">
        <v>4388</v>
      </c>
      <c r="G8" s="723">
        <v>45281</v>
      </c>
      <c r="H8" s="721" t="s">
        <v>554</v>
      </c>
      <c r="I8" s="724">
        <v>140000000</v>
      </c>
      <c r="J8" s="718">
        <f t="shared" si="0"/>
        <v>0</v>
      </c>
    </row>
    <row r="9" spans="1:10" ht="23.25" customHeight="1">
      <c r="A9" s="552">
        <v>2</v>
      </c>
      <c r="B9" s="553"/>
      <c r="C9" s="554"/>
      <c r="D9" s="376" t="s">
        <v>691</v>
      </c>
      <c r="E9" s="555">
        <v>500000000</v>
      </c>
      <c r="F9" s="74"/>
      <c r="G9" s="556"/>
      <c r="H9" s="376" t="s">
        <v>691</v>
      </c>
      <c r="I9" s="557">
        <v>500000000</v>
      </c>
      <c r="J9" s="552">
        <f t="shared" si="0"/>
        <v>0</v>
      </c>
    </row>
    <row r="10" spans="1:10" ht="23.25" customHeight="1">
      <c r="A10" s="552">
        <v>3</v>
      </c>
      <c r="B10" s="553"/>
      <c r="C10" s="554"/>
      <c r="D10" s="558" t="s">
        <v>833</v>
      </c>
      <c r="E10" s="405">
        <v>140000000</v>
      </c>
      <c r="F10" s="74"/>
      <c r="G10" s="556"/>
      <c r="H10" s="558" t="s">
        <v>833</v>
      </c>
      <c r="I10" s="557">
        <v>140000000</v>
      </c>
      <c r="J10" s="552">
        <f t="shared" si="0"/>
        <v>0</v>
      </c>
    </row>
    <row r="11" spans="1:10" ht="33" customHeight="1">
      <c r="A11" s="552">
        <v>4</v>
      </c>
      <c r="B11" s="553"/>
      <c r="C11" s="554"/>
      <c r="D11" s="558" t="s">
        <v>834</v>
      </c>
      <c r="E11" s="405">
        <v>572000000</v>
      </c>
      <c r="F11" s="74">
        <v>1058</v>
      </c>
      <c r="G11" s="559">
        <v>45023</v>
      </c>
      <c r="H11" s="560" t="s">
        <v>835</v>
      </c>
      <c r="I11" s="557">
        <v>572000000</v>
      </c>
      <c r="J11" s="552">
        <f t="shared" si="0"/>
        <v>0</v>
      </c>
    </row>
    <row r="12" spans="1:10" ht="23.25" customHeight="1">
      <c r="A12" s="561">
        <v>5</v>
      </c>
      <c r="B12" s="553"/>
      <c r="C12" s="554"/>
      <c r="D12" s="558" t="s">
        <v>836</v>
      </c>
      <c r="E12" s="405">
        <f>+E13+E18+E19</f>
        <v>3992000000</v>
      </c>
      <c r="F12" s="74"/>
      <c r="G12" s="556"/>
      <c r="H12" s="562"/>
      <c r="I12" s="405">
        <f>+I13+I18+I19</f>
        <v>3992000000</v>
      </c>
      <c r="J12" s="552">
        <f t="shared" si="0"/>
        <v>0</v>
      </c>
    </row>
    <row r="13" spans="1:10" ht="23.25" customHeight="1">
      <c r="A13" s="561" t="s">
        <v>264</v>
      </c>
      <c r="B13" s="553"/>
      <c r="C13" s="554"/>
      <c r="D13" s="558" t="s">
        <v>837</v>
      </c>
      <c r="E13" s="405">
        <f>+E14+E17</f>
        <v>3489000000</v>
      </c>
      <c r="F13" s="74"/>
      <c r="G13" s="556"/>
      <c r="H13" s="562"/>
      <c r="I13" s="557">
        <v>3489000000</v>
      </c>
      <c r="J13" s="552">
        <f t="shared" si="0"/>
        <v>0</v>
      </c>
    </row>
    <row r="14" spans="1:10" ht="23.25" customHeight="1">
      <c r="A14" s="563" t="s">
        <v>115</v>
      </c>
      <c r="B14" s="564"/>
      <c r="C14" s="565"/>
      <c r="D14" s="566" t="s">
        <v>61</v>
      </c>
      <c r="E14" s="567">
        <v>2297000000</v>
      </c>
      <c r="F14" s="74">
        <v>4388</v>
      </c>
      <c r="G14" s="568">
        <v>45281</v>
      </c>
      <c r="H14" s="569" t="s">
        <v>838</v>
      </c>
      <c r="I14" s="570">
        <v>1921100000</v>
      </c>
      <c r="J14" s="552">
        <f>+E14-I14-I15-I16</f>
        <v>0</v>
      </c>
    </row>
    <row r="15" spans="1:10" ht="23.25" customHeight="1">
      <c r="A15" s="563"/>
      <c r="B15" s="564"/>
      <c r="C15" s="565"/>
      <c r="D15" s="566"/>
      <c r="E15" s="567"/>
      <c r="F15" s="74">
        <v>744</v>
      </c>
      <c r="G15" s="568">
        <v>45005</v>
      </c>
      <c r="H15" s="569" t="s">
        <v>839</v>
      </c>
      <c r="I15" s="570">
        <v>166480000</v>
      </c>
      <c r="J15" s="552"/>
    </row>
    <row r="16" spans="1:10" ht="23.25" customHeight="1">
      <c r="A16" s="563"/>
      <c r="B16" s="564"/>
      <c r="C16" s="565"/>
      <c r="D16" s="566"/>
      <c r="E16" s="567"/>
      <c r="F16" s="74">
        <v>1112</v>
      </c>
      <c r="G16" s="568">
        <v>45030</v>
      </c>
      <c r="H16" s="569" t="s">
        <v>840</v>
      </c>
      <c r="I16" s="570">
        <v>209420000</v>
      </c>
      <c r="J16" s="552"/>
    </row>
    <row r="17" spans="1:10" ht="23.25" customHeight="1">
      <c r="A17" s="563" t="s">
        <v>115</v>
      </c>
      <c r="B17" s="564"/>
      <c r="C17" s="565"/>
      <c r="D17" s="566" t="s">
        <v>841</v>
      </c>
      <c r="E17" s="567">
        <v>1192000000</v>
      </c>
      <c r="F17" s="74">
        <v>4388</v>
      </c>
      <c r="G17" s="568">
        <v>45281</v>
      </c>
      <c r="H17" s="569" t="s">
        <v>842</v>
      </c>
      <c r="I17" s="570">
        <v>1192000000</v>
      </c>
      <c r="J17" s="552">
        <f t="shared" ref="J17:J32" si="1">+E17-I17</f>
        <v>0</v>
      </c>
    </row>
    <row r="18" spans="1:10" ht="23.25" customHeight="1">
      <c r="A18" s="561" t="s">
        <v>154</v>
      </c>
      <c r="B18" s="553"/>
      <c r="C18" s="554"/>
      <c r="D18" s="558" t="s">
        <v>843</v>
      </c>
      <c r="E18" s="405">
        <v>409000000</v>
      </c>
      <c r="F18" s="74">
        <v>4388</v>
      </c>
      <c r="G18" s="568">
        <v>45281</v>
      </c>
      <c r="H18" s="569" t="s">
        <v>844</v>
      </c>
      <c r="I18" s="570">
        <v>409000000</v>
      </c>
      <c r="J18" s="552">
        <f t="shared" si="1"/>
        <v>0</v>
      </c>
    </row>
    <row r="19" spans="1:10" ht="23.25" customHeight="1">
      <c r="A19" s="561" t="s">
        <v>577</v>
      </c>
      <c r="B19" s="553"/>
      <c r="C19" s="554"/>
      <c r="D19" s="558" t="s">
        <v>708</v>
      </c>
      <c r="E19" s="405">
        <v>94000000</v>
      </c>
      <c r="F19" s="74"/>
      <c r="G19" s="556"/>
      <c r="H19" s="562"/>
      <c r="I19" s="557">
        <v>94000000</v>
      </c>
      <c r="J19" s="552">
        <f t="shared" si="1"/>
        <v>0</v>
      </c>
    </row>
    <row r="20" spans="1:10" ht="23.25" customHeight="1">
      <c r="A20" s="571" t="s">
        <v>115</v>
      </c>
      <c r="B20" s="564"/>
      <c r="C20" s="565"/>
      <c r="D20" s="566" t="s">
        <v>61</v>
      </c>
      <c r="E20" s="567">
        <v>54000000</v>
      </c>
      <c r="F20" s="74">
        <v>4388</v>
      </c>
      <c r="G20" s="568">
        <v>45281</v>
      </c>
      <c r="H20" s="569" t="s">
        <v>845</v>
      </c>
      <c r="I20" s="570">
        <v>54000000</v>
      </c>
      <c r="J20" s="552">
        <f t="shared" si="1"/>
        <v>0</v>
      </c>
    </row>
    <row r="21" spans="1:10" ht="23.25" customHeight="1">
      <c r="A21" s="571" t="s">
        <v>115</v>
      </c>
      <c r="B21" s="564"/>
      <c r="C21" s="565"/>
      <c r="D21" s="566" t="s">
        <v>841</v>
      </c>
      <c r="E21" s="567">
        <v>40000000</v>
      </c>
      <c r="F21" s="74">
        <v>4388</v>
      </c>
      <c r="G21" s="568">
        <v>45281</v>
      </c>
      <c r="H21" s="569" t="s">
        <v>846</v>
      </c>
      <c r="I21" s="570">
        <v>40000000</v>
      </c>
      <c r="J21" s="552">
        <f t="shared" si="1"/>
        <v>0</v>
      </c>
    </row>
    <row r="22" spans="1:10" ht="40.5" customHeight="1">
      <c r="A22" s="552">
        <v>6</v>
      </c>
      <c r="B22" s="553"/>
      <c r="C22" s="554"/>
      <c r="D22" s="558" t="s">
        <v>847</v>
      </c>
      <c r="E22" s="405">
        <v>900000000</v>
      </c>
      <c r="F22" s="74">
        <v>1938</v>
      </c>
      <c r="G22" s="559">
        <v>45118</v>
      </c>
      <c r="H22" s="572" t="s">
        <v>848</v>
      </c>
      <c r="I22" s="557">
        <v>900000000</v>
      </c>
      <c r="J22" s="552">
        <f t="shared" si="1"/>
        <v>0</v>
      </c>
    </row>
    <row r="23" spans="1:10" ht="23.25" customHeight="1">
      <c r="A23" s="552">
        <v>7</v>
      </c>
      <c r="B23" s="553"/>
      <c r="C23" s="554"/>
      <c r="D23" s="558" t="s">
        <v>849</v>
      </c>
      <c r="E23" s="405">
        <f>+E24+E29+E30</f>
        <v>100219000000</v>
      </c>
      <c r="F23" s="74"/>
      <c r="G23" s="556"/>
      <c r="H23" s="562"/>
      <c r="I23" s="405">
        <v>88487000000</v>
      </c>
      <c r="J23" s="552">
        <f t="shared" si="1"/>
        <v>11732000000</v>
      </c>
    </row>
    <row r="24" spans="1:10" ht="23.25" customHeight="1">
      <c r="A24" s="552" t="s">
        <v>578</v>
      </c>
      <c r="B24" s="553"/>
      <c r="C24" s="554"/>
      <c r="D24" s="558" t="s">
        <v>837</v>
      </c>
      <c r="E24" s="405">
        <f>SUM(E25:E28)</f>
        <v>84745000000</v>
      </c>
      <c r="F24" s="74"/>
      <c r="G24" s="556"/>
      <c r="H24" s="562"/>
      <c r="I24" s="405">
        <v>73013000000</v>
      </c>
      <c r="J24" s="552">
        <f t="shared" si="1"/>
        <v>11732000000</v>
      </c>
    </row>
    <row r="25" spans="1:10" ht="23.25" customHeight="1">
      <c r="A25" s="571" t="s">
        <v>115</v>
      </c>
      <c r="B25" s="564"/>
      <c r="C25" s="565"/>
      <c r="D25" s="566" t="s">
        <v>61</v>
      </c>
      <c r="E25" s="567">
        <f>40566000000</f>
        <v>40566000000</v>
      </c>
      <c r="F25" s="74">
        <v>4388</v>
      </c>
      <c r="G25" s="568">
        <v>45281</v>
      </c>
      <c r="H25" s="569" t="s">
        <v>842</v>
      </c>
      <c r="I25" s="570">
        <v>33476350000</v>
      </c>
      <c r="J25" s="552"/>
    </row>
    <row r="26" spans="1:10" ht="23.25" customHeight="1">
      <c r="A26" s="571"/>
      <c r="B26" s="564"/>
      <c r="C26" s="565"/>
      <c r="D26" s="566"/>
      <c r="E26" s="567"/>
      <c r="F26" s="74">
        <v>744</v>
      </c>
      <c r="G26" s="568">
        <v>45005</v>
      </c>
      <c r="H26" s="569" t="s">
        <v>839</v>
      </c>
      <c r="I26" s="570">
        <v>2956970000</v>
      </c>
      <c r="J26" s="552"/>
    </row>
    <row r="27" spans="1:10" ht="23.25" customHeight="1">
      <c r="A27" s="571"/>
      <c r="B27" s="564"/>
      <c r="C27" s="565"/>
      <c r="D27" s="566"/>
      <c r="E27" s="567"/>
      <c r="F27" s="74">
        <v>1112</v>
      </c>
      <c r="G27" s="568">
        <v>45030</v>
      </c>
      <c r="H27" s="569" t="s">
        <v>840</v>
      </c>
      <c r="I27" s="570">
        <v>4132680000</v>
      </c>
      <c r="J27" s="552"/>
    </row>
    <row r="28" spans="1:10" ht="23.25" customHeight="1">
      <c r="A28" s="571" t="s">
        <v>115</v>
      </c>
      <c r="B28" s="564"/>
      <c r="C28" s="565"/>
      <c r="D28" s="566" t="s">
        <v>841</v>
      </c>
      <c r="E28" s="567">
        <v>44179000000</v>
      </c>
      <c r="F28" s="74">
        <v>4388</v>
      </c>
      <c r="G28" s="568">
        <v>45281</v>
      </c>
      <c r="H28" s="569" t="s">
        <v>842</v>
      </c>
      <c r="I28" s="570">
        <v>32447000000</v>
      </c>
      <c r="J28" s="552">
        <f t="shared" si="1"/>
        <v>11732000000</v>
      </c>
    </row>
    <row r="29" spans="1:10" ht="23.25" customHeight="1">
      <c r="A29" s="552" t="s">
        <v>850</v>
      </c>
      <c r="B29" s="553"/>
      <c r="C29" s="554"/>
      <c r="D29" s="558" t="s">
        <v>851</v>
      </c>
      <c r="E29" s="405">
        <v>13635000000</v>
      </c>
      <c r="F29" s="74">
        <v>4388</v>
      </c>
      <c r="G29" s="568">
        <v>45281</v>
      </c>
      <c r="H29" s="569" t="s">
        <v>844</v>
      </c>
      <c r="I29" s="570">
        <v>13635000000</v>
      </c>
      <c r="J29" s="552">
        <f t="shared" si="1"/>
        <v>0</v>
      </c>
    </row>
    <row r="30" spans="1:10" ht="23.25" customHeight="1">
      <c r="A30" s="552" t="s">
        <v>852</v>
      </c>
      <c r="B30" s="553"/>
      <c r="C30" s="554"/>
      <c r="D30" s="558" t="s">
        <v>708</v>
      </c>
      <c r="E30" s="405">
        <f>SUM(E31:E32)</f>
        <v>1839000000</v>
      </c>
      <c r="F30" s="74"/>
      <c r="G30" s="556"/>
      <c r="H30" s="562"/>
      <c r="I30" s="405">
        <v>1839000000</v>
      </c>
      <c r="J30" s="552">
        <f t="shared" si="1"/>
        <v>0</v>
      </c>
    </row>
    <row r="31" spans="1:10" ht="23.25" customHeight="1">
      <c r="A31" s="571" t="s">
        <v>115</v>
      </c>
      <c r="B31" s="564"/>
      <c r="C31" s="565"/>
      <c r="D31" s="566" t="s">
        <v>61</v>
      </c>
      <c r="E31" s="567">
        <v>1049000000</v>
      </c>
      <c r="F31" s="74">
        <v>4388</v>
      </c>
      <c r="G31" s="568">
        <v>45281</v>
      </c>
      <c r="H31" s="569" t="s">
        <v>845</v>
      </c>
      <c r="I31" s="570">
        <v>1049000000</v>
      </c>
      <c r="J31" s="552">
        <f t="shared" si="1"/>
        <v>0</v>
      </c>
    </row>
    <row r="32" spans="1:10" ht="23.25" customHeight="1">
      <c r="A32" s="571" t="s">
        <v>115</v>
      </c>
      <c r="B32" s="564"/>
      <c r="C32" s="565"/>
      <c r="D32" s="566" t="s">
        <v>841</v>
      </c>
      <c r="E32" s="567">
        <v>790000000</v>
      </c>
      <c r="F32" s="74">
        <v>4388</v>
      </c>
      <c r="G32" s="568">
        <v>45281</v>
      </c>
      <c r="H32" s="569" t="s">
        <v>846</v>
      </c>
      <c r="I32" s="570">
        <v>790000000</v>
      </c>
      <c r="J32" s="552">
        <f t="shared" si="1"/>
        <v>0</v>
      </c>
    </row>
    <row r="33" spans="1:11" s="39" customFormat="1" ht="23.25" customHeight="1">
      <c r="A33" s="190"/>
      <c r="B33" s="190"/>
      <c r="C33" s="190"/>
      <c r="D33" s="725" t="s">
        <v>853</v>
      </c>
      <c r="E33" s="726">
        <f>+E34+E39+E40+E50+E54+E55+E56+E57+E58+E59+E67+E68+E69+E70</f>
        <v>30071772919</v>
      </c>
      <c r="F33" s="727"/>
      <c r="G33" s="727"/>
      <c r="H33" s="726"/>
      <c r="I33" s="726">
        <f>+I34+I39+I40+I50+I54+I55+I56+I57+I58+I59+I67+I68+I69+I70</f>
        <v>29860209667</v>
      </c>
      <c r="J33" s="726">
        <f>+J34+J39+J40+J50+J54+J55+J56+J57+J58+J59+J67+J68+J69+J70</f>
        <v>211563252</v>
      </c>
      <c r="K33" s="573"/>
    </row>
    <row r="34" spans="1:11" s="33" customFormat="1" ht="56.25" customHeight="1">
      <c r="A34" s="97">
        <v>1</v>
      </c>
      <c r="B34" s="97">
        <v>450</v>
      </c>
      <c r="C34" s="575">
        <v>44642</v>
      </c>
      <c r="D34" s="189" t="s">
        <v>854</v>
      </c>
      <c r="E34" s="605">
        <f>SUM(E35:E37)</f>
        <v>4434420000</v>
      </c>
      <c r="F34" s="394"/>
      <c r="G34" s="394"/>
      <c r="H34" s="583"/>
      <c r="I34" s="728">
        <f>SUM(I35:I38)</f>
        <v>4434420000</v>
      </c>
      <c r="J34" s="577">
        <f>+E34-I34</f>
        <v>0</v>
      </c>
      <c r="K34" s="574"/>
    </row>
    <row r="35" spans="1:11" s="33" customFormat="1" ht="39" customHeight="1">
      <c r="A35" s="97"/>
      <c r="B35" s="97"/>
      <c r="C35" s="575"/>
      <c r="D35" s="189" t="s">
        <v>855</v>
      </c>
      <c r="E35" s="576">
        <v>4125016000</v>
      </c>
      <c r="F35" s="74">
        <v>810</v>
      </c>
      <c r="G35" s="74" t="s">
        <v>856</v>
      </c>
      <c r="H35" s="189" t="s">
        <v>857</v>
      </c>
      <c r="I35" s="577">
        <v>3043916000</v>
      </c>
      <c r="J35" s="577"/>
      <c r="K35" s="374"/>
    </row>
    <row r="36" spans="1:11" s="33" customFormat="1" ht="39" customHeight="1">
      <c r="A36" s="97"/>
      <c r="B36" s="97"/>
      <c r="C36" s="575"/>
      <c r="D36" s="189"/>
      <c r="E36" s="576"/>
      <c r="F36" s="74">
        <v>1970</v>
      </c>
      <c r="G36" s="74" t="s">
        <v>858</v>
      </c>
      <c r="H36" s="189" t="s">
        <v>859</v>
      </c>
      <c r="I36" s="577">
        <v>1081100000</v>
      </c>
      <c r="J36" s="577"/>
    </row>
    <row r="37" spans="1:11" s="33" customFormat="1" ht="39" customHeight="1">
      <c r="A37" s="97"/>
      <c r="B37" s="97"/>
      <c r="C37" s="575"/>
      <c r="D37" s="189" t="s">
        <v>860</v>
      </c>
      <c r="E37" s="576">
        <v>309404000</v>
      </c>
      <c r="F37" s="74">
        <v>810</v>
      </c>
      <c r="G37" s="74" t="s">
        <v>856</v>
      </c>
      <c r="H37" s="189" t="s">
        <v>861</v>
      </c>
      <c r="I37" s="577">
        <v>170699000</v>
      </c>
      <c r="J37" s="577"/>
    </row>
    <row r="38" spans="1:11" s="33" customFormat="1" ht="39" customHeight="1">
      <c r="A38" s="97"/>
      <c r="B38" s="97"/>
      <c r="C38" s="575"/>
      <c r="D38" s="189"/>
      <c r="E38" s="578"/>
      <c r="F38" s="74">
        <v>1970</v>
      </c>
      <c r="G38" s="74" t="s">
        <v>858</v>
      </c>
      <c r="H38" s="189" t="s">
        <v>862</v>
      </c>
      <c r="I38" s="577">
        <v>138705000</v>
      </c>
      <c r="J38" s="577"/>
    </row>
    <row r="39" spans="1:11" s="33" customFormat="1" ht="41.25" customHeight="1">
      <c r="A39" s="97">
        <v>2</v>
      </c>
      <c r="B39" s="97">
        <v>552</v>
      </c>
      <c r="C39" s="575">
        <v>45019</v>
      </c>
      <c r="D39" s="189" t="s">
        <v>863</v>
      </c>
      <c r="E39" s="576">
        <v>37445000</v>
      </c>
      <c r="F39" s="74">
        <v>1050</v>
      </c>
      <c r="G39" s="579" t="s">
        <v>864</v>
      </c>
      <c r="H39" s="107" t="s">
        <v>865</v>
      </c>
      <c r="I39" s="580">
        <f>+E39</f>
        <v>37445000</v>
      </c>
      <c r="J39" s="577"/>
    </row>
    <row r="40" spans="1:11" s="33" customFormat="1" ht="52.5" customHeight="1">
      <c r="A40" s="581">
        <v>3</v>
      </c>
      <c r="B40" s="581">
        <v>773</v>
      </c>
      <c r="C40" s="582">
        <v>45054</v>
      </c>
      <c r="D40" s="189" t="s">
        <v>866</v>
      </c>
      <c r="E40" s="395">
        <f>+E41+E49+E44+E48</f>
        <v>3277591919</v>
      </c>
      <c r="F40" s="394"/>
      <c r="G40" s="394"/>
      <c r="H40" s="583"/>
      <c r="I40" s="395">
        <f>+I41+I49+I44+I48</f>
        <v>3236429667</v>
      </c>
      <c r="J40" s="577">
        <f>+E40-I40</f>
        <v>41162252</v>
      </c>
    </row>
    <row r="41" spans="1:11" s="33" customFormat="1" ht="24" customHeight="1">
      <c r="A41" s="394"/>
      <c r="B41" s="394"/>
      <c r="C41" s="394"/>
      <c r="D41" s="189" t="s">
        <v>867</v>
      </c>
      <c r="E41" s="395">
        <f>SUM(E42:E43)</f>
        <v>2379118667</v>
      </c>
      <c r="F41" s="74"/>
      <c r="G41" s="74"/>
      <c r="H41" s="74"/>
      <c r="I41" s="577">
        <f>SUM(I42:I43)</f>
        <v>2379118667</v>
      </c>
      <c r="J41" s="577">
        <f>+E41-I41</f>
        <v>0</v>
      </c>
    </row>
    <row r="42" spans="1:11" s="33" customFormat="1" ht="24" customHeight="1">
      <c r="A42" s="581"/>
      <c r="B42" s="581"/>
      <c r="C42" s="581"/>
      <c r="D42" s="584" t="s">
        <v>868</v>
      </c>
      <c r="E42" s="585">
        <v>489600000</v>
      </c>
      <c r="F42" s="586">
        <v>1975</v>
      </c>
      <c r="G42" s="587">
        <v>45125</v>
      </c>
      <c r="H42" s="588" t="s">
        <v>869</v>
      </c>
      <c r="I42" s="589">
        <v>489600000</v>
      </c>
      <c r="J42" s="577">
        <f>+E42-I42</f>
        <v>0</v>
      </c>
    </row>
    <row r="43" spans="1:11" s="33" customFormat="1" ht="24" customHeight="1">
      <c r="A43" s="586"/>
      <c r="B43" s="586"/>
      <c r="C43" s="586"/>
      <c r="D43" s="584" t="s">
        <v>870</v>
      </c>
      <c r="E43" s="585">
        <v>1889518667</v>
      </c>
      <c r="F43" s="586">
        <v>1973</v>
      </c>
      <c r="G43" s="587">
        <v>45125</v>
      </c>
      <c r="H43" s="588" t="s">
        <v>871</v>
      </c>
      <c r="I43" s="589">
        <v>1889518667</v>
      </c>
      <c r="J43" s="577">
        <f>+E43-I43</f>
        <v>0</v>
      </c>
    </row>
    <row r="44" spans="1:11" s="33" customFormat="1" ht="24" customHeight="1">
      <c r="A44" s="586"/>
      <c r="B44" s="586"/>
      <c r="C44" s="586"/>
      <c r="D44" s="189" t="s">
        <v>872</v>
      </c>
      <c r="E44" s="395">
        <f>SUM(E45:E47)</f>
        <v>640874000</v>
      </c>
      <c r="F44" s="74"/>
      <c r="G44" s="74"/>
      <c r="H44" s="74"/>
      <c r="I44" s="577">
        <f>SUM(I45:I47)</f>
        <v>630254000</v>
      </c>
      <c r="J44" s="577">
        <f>+E44-I44</f>
        <v>10620000</v>
      </c>
    </row>
    <row r="45" spans="1:11" s="33" customFormat="1" ht="24" customHeight="1">
      <c r="A45" s="581"/>
      <c r="B45" s="581"/>
      <c r="C45" s="581"/>
      <c r="D45" s="584" t="s">
        <v>855</v>
      </c>
      <c r="E45" s="585">
        <v>544911000</v>
      </c>
      <c r="F45" s="1875">
        <v>1971</v>
      </c>
      <c r="G45" s="1876">
        <v>45125</v>
      </c>
      <c r="H45" s="1875" t="s">
        <v>873</v>
      </c>
      <c r="I45" s="589">
        <v>544911000</v>
      </c>
      <c r="J45" s="577"/>
    </row>
    <row r="46" spans="1:11" s="33" customFormat="1" ht="24" customHeight="1">
      <c r="A46" s="586"/>
      <c r="B46" s="586"/>
      <c r="C46" s="586"/>
      <c r="D46" s="584" t="s">
        <v>874</v>
      </c>
      <c r="E46" s="585">
        <v>16343000</v>
      </c>
      <c r="F46" s="1875"/>
      <c r="G46" s="1876"/>
      <c r="H46" s="1875"/>
      <c r="I46" s="589">
        <v>16343000</v>
      </c>
      <c r="J46" s="577"/>
    </row>
    <row r="47" spans="1:11" s="33" customFormat="1" ht="24" customHeight="1">
      <c r="A47" s="586"/>
      <c r="B47" s="586"/>
      <c r="C47" s="586"/>
      <c r="D47" s="584" t="s">
        <v>874</v>
      </c>
      <c r="E47" s="585">
        <v>79620000</v>
      </c>
      <c r="F47" s="1875"/>
      <c r="G47" s="1876"/>
      <c r="H47" s="1875"/>
      <c r="I47" s="589">
        <v>69000000</v>
      </c>
      <c r="J47" s="577">
        <f>+E47-I47</f>
        <v>10620000</v>
      </c>
    </row>
    <row r="48" spans="1:11" s="33" customFormat="1" ht="32.25" customHeight="1">
      <c r="A48" s="586"/>
      <c r="B48" s="586"/>
      <c r="C48" s="586"/>
      <c r="D48" s="189" t="s">
        <v>875</v>
      </c>
      <c r="E48" s="395">
        <v>39000000</v>
      </c>
      <c r="F48" s="581">
        <v>1972</v>
      </c>
      <c r="G48" s="590">
        <v>45125</v>
      </c>
      <c r="H48" s="107" t="s">
        <v>873</v>
      </c>
      <c r="I48" s="580">
        <v>39000000</v>
      </c>
      <c r="J48" s="577"/>
    </row>
    <row r="49" spans="1:10" s="33" customFormat="1" ht="32.25" customHeight="1">
      <c r="A49" s="581"/>
      <c r="B49" s="581"/>
      <c r="C49" s="581"/>
      <c r="D49" s="189" t="s">
        <v>876</v>
      </c>
      <c r="E49" s="395">
        <v>218599252</v>
      </c>
      <c r="F49" s="581">
        <v>1970</v>
      </c>
      <c r="G49" s="579" t="s">
        <v>858</v>
      </c>
      <c r="H49" s="107" t="s">
        <v>877</v>
      </c>
      <c r="I49" s="580">
        <v>188057000</v>
      </c>
      <c r="J49" s="577">
        <f>+E49-I49</f>
        <v>30542252</v>
      </c>
    </row>
    <row r="50" spans="1:10" s="33" customFormat="1" ht="62.25" customHeight="1">
      <c r="A50" s="581">
        <v>4</v>
      </c>
      <c r="B50" s="581">
        <v>1031</v>
      </c>
      <c r="C50" s="582">
        <v>45090</v>
      </c>
      <c r="D50" s="189" t="s">
        <v>878</v>
      </c>
      <c r="E50" s="395">
        <f>SUM(E51:E53)</f>
        <v>821072000</v>
      </c>
      <c r="F50" s="74"/>
      <c r="G50" s="591"/>
      <c r="H50" s="74"/>
      <c r="I50" s="395">
        <f>SUM(I51:I53)</f>
        <v>821072000</v>
      </c>
      <c r="J50" s="577">
        <f>+E50-I50</f>
        <v>0</v>
      </c>
    </row>
    <row r="51" spans="1:10" s="593" customFormat="1" ht="24" customHeight="1">
      <c r="A51" s="586"/>
      <c r="B51" s="586"/>
      <c r="C51" s="586"/>
      <c r="D51" s="584" t="s">
        <v>879</v>
      </c>
      <c r="E51" s="585">
        <v>142420000</v>
      </c>
      <c r="F51" s="586">
        <v>1973</v>
      </c>
      <c r="G51" s="587">
        <v>45125</v>
      </c>
      <c r="H51" s="588" t="s">
        <v>871</v>
      </c>
      <c r="I51" s="592">
        <f t="shared" ref="I51:I58" si="2">+E51</f>
        <v>142420000</v>
      </c>
      <c r="J51" s="592"/>
    </row>
    <row r="52" spans="1:10" s="593" customFormat="1" ht="46.5" customHeight="1">
      <c r="A52" s="586"/>
      <c r="B52" s="586"/>
      <c r="C52" s="586"/>
      <c r="D52" s="584" t="s">
        <v>880</v>
      </c>
      <c r="E52" s="585">
        <v>460700000</v>
      </c>
      <c r="F52" s="594">
        <v>2083</v>
      </c>
      <c r="G52" s="595">
        <v>45139</v>
      </c>
      <c r="H52" s="584" t="s">
        <v>881</v>
      </c>
      <c r="I52" s="592">
        <f t="shared" si="2"/>
        <v>460700000</v>
      </c>
      <c r="J52" s="592"/>
    </row>
    <row r="53" spans="1:10" s="593" customFormat="1" ht="24" customHeight="1">
      <c r="A53" s="586"/>
      <c r="B53" s="586"/>
      <c r="C53" s="586"/>
      <c r="D53" s="584" t="s">
        <v>882</v>
      </c>
      <c r="E53" s="585">
        <v>217952000</v>
      </c>
      <c r="F53" s="586">
        <v>1975</v>
      </c>
      <c r="G53" s="587">
        <v>45125</v>
      </c>
      <c r="H53" s="588" t="s">
        <v>869</v>
      </c>
      <c r="I53" s="589">
        <f t="shared" si="2"/>
        <v>217952000</v>
      </c>
      <c r="J53" s="592"/>
    </row>
    <row r="54" spans="1:10" s="33" customFormat="1" ht="48" customHeight="1">
      <c r="A54" s="74">
        <v>5</v>
      </c>
      <c r="B54" s="74">
        <v>1424</v>
      </c>
      <c r="C54" s="591">
        <v>45146</v>
      </c>
      <c r="D54" s="189" t="s">
        <v>883</v>
      </c>
      <c r="E54" s="395">
        <v>7085749000</v>
      </c>
      <c r="F54" s="74">
        <v>2849</v>
      </c>
      <c r="G54" s="591">
        <v>45191</v>
      </c>
      <c r="H54" s="189" t="s">
        <v>884</v>
      </c>
      <c r="I54" s="577">
        <f t="shared" si="2"/>
        <v>7085749000</v>
      </c>
      <c r="J54" s="577"/>
    </row>
    <row r="55" spans="1:10" s="33" customFormat="1" ht="48" customHeight="1">
      <c r="A55" s="74">
        <v>6</v>
      </c>
      <c r="B55" s="74">
        <v>1596</v>
      </c>
      <c r="C55" s="591">
        <v>45169</v>
      </c>
      <c r="D55" s="189" t="s">
        <v>885</v>
      </c>
      <c r="E55" s="395">
        <v>208800000</v>
      </c>
      <c r="F55" s="74">
        <v>5852</v>
      </c>
      <c r="G55" s="591">
        <v>45282</v>
      </c>
      <c r="H55" s="189" t="s">
        <v>886</v>
      </c>
      <c r="I55" s="577">
        <f t="shared" si="2"/>
        <v>208800000</v>
      </c>
      <c r="J55" s="577">
        <f>+E55-I55</f>
        <v>0</v>
      </c>
    </row>
    <row r="56" spans="1:10" s="33" customFormat="1" ht="45.75" customHeight="1">
      <c r="A56" s="74">
        <v>7</v>
      </c>
      <c r="B56" s="394">
        <v>2003</v>
      </c>
      <c r="C56" s="596">
        <v>45231</v>
      </c>
      <c r="D56" s="189" t="s">
        <v>887</v>
      </c>
      <c r="E56" s="395">
        <v>130030000</v>
      </c>
      <c r="F56" s="74">
        <v>5850</v>
      </c>
      <c r="G56" s="591">
        <v>45282</v>
      </c>
      <c r="H56" s="189" t="s">
        <v>888</v>
      </c>
      <c r="I56" s="577">
        <f t="shared" si="2"/>
        <v>130030000</v>
      </c>
      <c r="J56" s="577"/>
    </row>
    <row r="57" spans="1:10" s="33" customFormat="1" ht="55.5" customHeight="1">
      <c r="A57" s="74">
        <v>8</v>
      </c>
      <c r="B57" s="74">
        <v>2071</v>
      </c>
      <c r="C57" s="591">
        <v>45241</v>
      </c>
      <c r="D57" s="75" t="s">
        <v>889</v>
      </c>
      <c r="E57" s="395">
        <v>619553000</v>
      </c>
      <c r="F57" s="74">
        <v>5675</v>
      </c>
      <c r="G57" s="591">
        <v>45264</v>
      </c>
      <c r="H57" s="189" t="s">
        <v>890</v>
      </c>
      <c r="I57" s="577">
        <f t="shared" si="2"/>
        <v>619553000</v>
      </c>
      <c r="J57" s="577"/>
    </row>
    <row r="58" spans="1:10" s="33" customFormat="1" ht="60.75" customHeight="1">
      <c r="A58" s="74">
        <v>9</v>
      </c>
      <c r="B58" s="74">
        <v>2005</v>
      </c>
      <c r="C58" s="591">
        <v>45232</v>
      </c>
      <c r="D58" s="189" t="s">
        <v>891</v>
      </c>
      <c r="E58" s="395">
        <v>29000000</v>
      </c>
      <c r="F58" s="74">
        <v>5850</v>
      </c>
      <c r="G58" s="591">
        <v>45282</v>
      </c>
      <c r="H58" s="189" t="s">
        <v>888</v>
      </c>
      <c r="I58" s="577">
        <f t="shared" si="2"/>
        <v>29000000</v>
      </c>
      <c r="J58" s="578"/>
    </row>
    <row r="59" spans="1:10" s="33" customFormat="1" ht="42.75" customHeight="1">
      <c r="A59" s="74">
        <v>10</v>
      </c>
      <c r="B59" s="394">
        <v>2343</v>
      </c>
      <c r="C59" s="596">
        <v>45272</v>
      </c>
      <c r="D59" s="189" t="s">
        <v>892</v>
      </c>
      <c r="E59" s="395">
        <f>SUM(E60:E66)</f>
        <v>10754104000</v>
      </c>
      <c r="F59" s="394"/>
      <c r="G59" s="394"/>
      <c r="H59" s="583"/>
      <c r="I59" s="395">
        <f>SUM(I60:I66)</f>
        <v>10629333000</v>
      </c>
      <c r="J59" s="395">
        <f>SUM(J60:J66)</f>
        <v>124771000</v>
      </c>
    </row>
    <row r="60" spans="1:10" s="593" customFormat="1" ht="41.25" customHeight="1">
      <c r="A60" s="597"/>
      <c r="B60" s="597"/>
      <c r="C60" s="597"/>
      <c r="D60" s="598" t="s">
        <v>893</v>
      </c>
      <c r="E60" s="585">
        <v>17370000</v>
      </c>
      <c r="F60" s="74">
        <v>5850</v>
      </c>
      <c r="G60" s="591">
        <v>45282</v>
      </c>
      <c r="H60" s="189" t="s">
        <v>888</v>
      </c>
      <c r="I60" s="577">
        <f>+E60</f>
        <v>17370000</v>
      </c>
      <c r="J60" s="599"/>
    </row>
    <row r="61" spans="1:10" s="593" customFormat="1" ht="51" customHeight="1">
      <c r="A61" s="597"/>
      <c r="B61" s="597"/>
      <c r="C61" s="597"/>
      <c r="D61" s="598" t="s">
        <v>548</v>
      </c>
      <c r="E61" s="585">
        <v>8010000000</v>
      </c>
      <c r="F61" s="597">
        <v>5794</v>
      </c>
      <c r="G61" s="600">
        <v>45278</v>
      </c>
      <c r="H61" s="584" t="s">
        <v>894</v>
      </c>
      <c r="I61" s="601">
        <v>7885229000</v>
      </c>
      <c r="J61" s="602">
        <f>+E61-I61</f>
        <v>124771000</v>
      </c>
    </row>
    <row r="62" spans="1:10" s="593" customFormat="1" ht="35.25" customHeight="1">
      <c r="A62" s="597"/>
      <c r="B62" s="597"/>
      <c r="C62" s="597"/>
      <c r="D62" s="584" t="s">
        <v>895</v>
      </c>
      <c r="E62" s="585">
        <v>587911000</v>
      </c>
      <c r="F62" s="597"/>
      <c r="G62" s="597"/>
      <c r="H62" s="598"/>
      <c r="I62" s="603">
        <f t="shared" ref="I62:I69" si="3">+E62</f>
        <v>587911000</v>
      </c>
      <c r="J62" s="602">
        <f>+E62-I62</f>
        <v>0</v>
      </c>
    </row>
    <row r="63" spans="1:10" s="593" customFormat="1" ht="35.25" customHeight="1">
      <c r="A63" s="597"/>
      <c r="B63" s="597"/>
      <c r="C63" s="597"/>
      <c r="D63" s="584" t="s">
        <v>896</v>
      </c>
      <c r="E63" s="585">
        <v>495463000</v>
      </c>
      <c r="F63" s="1865">
        <v>5794</v>
      </c>
      <c r="G63" s="1866">
        <v>45278</v>
      </c>
      <c r="H63" s="1868" t="s">
        <v>894</v>
      </c>
      <c r="I63" s="603">
        <f t="shared" si="3"/>
        <v>495463000</v>
      </c>
      <c r="J63" s="602">
        <f>+E63-I63</f>
        <v>0</v>
      </c>
    </row>
    <row r="64" spans="1:10" s="593" customFormat="1" ht="53.25" customHeight="1">
      <c r="A64" s="597"/>
      <c r="B64" s="597"/>
      <c r="C64" s="597"/>
      <c r="D64" s="584" t="s">
        <v>897</v>
      </c>
      <c r="E64" s="585">
        <v>50381000</v>
      </c>
      <c r="F64" s="1865"/>
      <c r="G64" s="1867"/>
      <c r="H64" s="1869"/>
      <c r="I64" s="603">
        <f t="shared" si="3"/>
        <v>50381000</v>
      </c>
      <c r="J64" s="604"/>
    </row>
    <row r="65" spans="1:11" s="593" customFormat="1" ht="35.25" customHeight="1">
      <c r="A65" s="597"/>
      <c r="B65" s="597"/>
      <c r="C65" s="597"/>
      <c r="D65" s="584" t="s">
        <v>898</v>
      </c>
      <c r="E65" s="585">
        <v>936252000</v>
      </c>
      <c r="F65" s="1865"/>
      <c r="G65" s="1867"/>
      <c r="H65" s="1869"/>
      <c r="I65" s="603">
        <f t="shared" si="3"/>
        <v>936252000</v>
      </c>
      <c r="J65" s="604"/>
    </row>
    <row r="66" spans="1:11" s="593" customFormat="1" ht="24" customHeight="1">
      <c r="A66" s="597"/>
      <c r="B66" s="597"/>
      <c r="C66" s="597"/>
      <c r="D66" s="598" t="s">
        <v>899</v>
      </c>
      <c r="E66" s="585">
        <v>656727000</v>
      </c>
      <c r="F66" s="1865"/>
      <c r="G66" s="1867"/>
      <c r="H66" s="1869"/>
      <c r="I66" s="603">
        <f t="shared" si="3"/>
        <v>656727000</v>
      </c>
      <c r="J66" s="604"/>
    </row>
    <row r="67" spans="1:11" s="33" customFormat="1" ht="48.75" customHeight="1">
      <c r="A67" s="394">
        <v>11</v>
      </c>
      <c r="B67" s="394">
        <v>2012</v>
      </c>
      <c r="C67" s="596">
        <v>45233</v>
      </c>
      <c r="D67" s="189" t="s">
        <v>900</v>
      </c>
      <c r="E67" s="395">
        <v>32000000</v>
      </c>
      <c r="F67" s="394">
        <v>5469</v>
      </c>
      <c r="G67" s="596">
        <v>45245</v>
      </c>
      <c r="H67" s="583"/>
      <c r="I67" s="605">
        <f t="shared" si="3"/>
        <v>32000000</v>
      </c>
      <c r="J67" s="578"/>
    </row>
    <row r="68" spans="1:11" s="33" customFormat="1" ht="58.5" customHeight="1">
      <c r="A68" s="394">
        <v>12</v>
      </c>
      <c r="B68" s="394">
        <v>2432</v>
      </c>
      <c r="C68" s="596">
        <v>45284</v>
      </c>
      <c r="D68" s="189" t="s">
        <v>901</v>
      </c>
      <c r="E68" s="395">
        <v>15000000</v>
      </c>
      <c r="F68" s="394">
        <v>5960</v>
      </c>
      <c r="G68" s="596">
        <v>45288</v>
      </c>
      <c r="H68" s="75" t="s">
        <v>902</v>
      </c>
      <c r="I68" s="605">
        <f t="shared" si="3"/>
        <v>15000000</v>
      </c>
      <c r="J68" s="578"/>
    </row>
    <row r="69" spans="1:11" s="33" customFormat="1" ht="48" customHeight="1">
      <c r="A69" s="394">
        <v>13</v>
      </c>
      <c r="B69" s="394">
        <v>2495</v>
      </c>
      <c r="C69" s="596">
        <v>45288</v>
      </c>
      <c r="D69" s="189" t="s">
        <v>903</v>
      </c>
      <c r="E69" s="395">
        <v>145931000</v>
      </c>
      <c r="F69" s="394">
        <v>5988</v>
      </c>
      <c r="G69" s="596">
        <v>45289</v>
      </c>
      <c r="H69" s="75" t="s">
        <v>904</v>
      </c>
      <c r="I69" s="605">
        <f t="shared" si="3"/>
        <v>145931000</v>
      </c>
      <c r="J69" s="578"/>
    </row>
    <row r="70" spans="1:11" s="33" customFormat="1" ht="40.5" customHeight="1">
      <c r="A70" s="394">
        <v>14</v>
      </c>
      <c r="B70" s="394">
        <v>2501</v>
      </c>
      <c r="C70" s="596">
        <v>45288</v>
      </c>
      <c r="D70" s="189" t="s">
        <v>905</v>
      </c>
      <c r="E70" s="395">
        <v>2481077000</v>
      </c>
      <c r="F70" s="394">
        <v>6078</v>
      </c>
      <c r="G70" s="596">
        <v>45291</v>
      </c>
      <c r="H70" s="583" t="s">
        <v>906</v>
      </c>
      <c r="I70" s="606">
        <v>2435447000</v>
      </c>
      <c r="J70" s="607">
        <f>+E70-I70</f>
        <v>45630000</v>
      </c>
      <c r="K70" s="608"/>
    </row>
    <row r="71" spans="1:11" s="39" customFormat="1" ht="20.25" customHeight="1">
      <c r="A71" s="393"/>
      <c r="B71" s="393"/>
      <c r="C71" s="393"/>
      <c r="D71" s="609" t="s">
        <v>907</v>
      </c>
      <c r="E71" s="610">
        <f>+E72+E79+E82</f>
        <v>4761146302</v>
      </c>
      <c r="F71" s="393"/>
      <c r="G71" s="393"/>
      <c r="H71" s="609"/>
      <c r="I71" s="610">
        <f>+I72+I79+I82</f>
        <v>4761146302</v>
      </c>
      <c r="J71" s="610">
        <f>+E71-I71</f>
        <v>0</v>
      </c>
    </row>
    <row r="72" spans="1:11" s="33" customFormat="1" ht="60" customHeight="1">
      <c r="A72" s="394"/>
      <c r="B72" s="394">
        <v>2499</v>
      </c>
      <c r="C72" s="596">
        <v>45288</v>
      </c>
      <c r="D72" s="189" t="s">
        <v>908</v>
      </c>
      <c r="E72" s="607">
        <f t="shared" ref="E72:J72" si="4">SUM(E73:E78)</f>
        <v>3804943897</v>
      </c>
      <c r="F72" s="607">
        <f t="shared" si="4"/>
        <v>0</v>
      </c>
      <c r="G72" s="607">
        <f t="shared" si="4"/>
        <v>0</v>
      </c>
      <c r="H72" s="607">
        <f t="shared" si="4"/>
        <v>0</v>
      </c>
      <c r="I72" s="607">
        <f t="shared" si="4"/>
        <v>3804943897</v>
      </c>
      <c r="J72" s="607">
        <f t="shared" si="4"/>
        <v>0</v>
      </c>
    </row>
    <row r="73" spans="1:11" s="593" customFormat="1" ht="19.5" customHeight="1">
      <c r="A73" s="597"/>
      <c r="B73" s="597"/>
      <c r="C73" s="600"/>
      <c r="D73" s="611" t="s">
        <v>691</v>
      </c>
      <c r="E73" s="602">
        <v>1187000</v>
      </c>
      <c r="F73" s="597"/>
      <c r="G73" s="597"/>
      <c r="H73" s="611" t="s">
        <v>909</v>
      </c>
      <c r="I73" s="602">
        <f t="shared" ref="I73:I79" si="5">+E73</f>
        <v>1187000</v>
      </c>
      <c r="J73" s="604"/>
    </row>
    <row r="74" spans="1:11" s="593" customFormat="1" ht="44.25" customHeight="1">
      <c r="A74" s="597"/>
      <c r="B74" s="597"/>
      <c r="C74" s="597"/>
      <c r="D74" s="584" t="s">
        <v>910</v>
      </c>
      <c r="E74" s="601">
        <v>587911000</v>
      </c>
      <c r="F74" s="597"/>
      <c r="G74" s="597"/>
      <c r="H74" s="584" t="s">
        <v>911</v>
      </c>
      <c r="I74" s="602">
        <f t="shared" si="5"/>
        <v>587911000</v>
      </c>
      <c r="J74" s="604"/>
    </row>
    <row r="75" spans="1:11" s="593" customFormat="1" ht="38.25" customHeight="1">
      <c r="A75" s="597"/>
      <c r="B75" s="597"/>
      <c r="C75" s="597"/>
      <c r="D75" s="584" t="s">
        <v>912</v>
      </c>
      <c r="E75" s="601">
        <v>99543002</v>
      </c>
      <c r="F75" s="597"/>
      <c r="G75" s="597"/>
      <c r="H75" s="584" t="s">
        <v>912</v>
      </c>
      <c r="I75" s="602">
        <f t="shared" si="5"/>
        <v>99543002</v>
      </c>
      <c r="J75" s="604"/>
    </row>
    <row r="76" spans="1:11" s="593" customFormat="1" ht="27" customHeight="1">
      <c r="A76" s="597"/>
      <c r="B76" s="597"/>
      <c r="C76" s="597"/>
      <c r="D76" s="612" t="s">
        <v>913</v>
      </c>
      <c r="E76" s="601">
        <v>7420000</v>
      </c>
      <c r="F76" s="597"/>
      <c r="G76" s="597"/>
      <c r="H76" s="612" t="s">
        <v>914</v>
      </c>
      <c r="I76" s="602">
        <f t="shared" si="5"/>
        <v>7420000</v>
      </c>
      <c r="J76" s="604"/>
    </row>
    <row r="77" spans="1:11" s="593" customFormat="1" ht="27" customHeight="1">
      <c r="A77" s="597"/>
      <c r="B77" s="597"/>
      <c r="C77" s="597"/>
      <c r="D77" s="612" t="s">
        <v>915</v>
      </c>
      <c r="E77" s="601">
        <v>2979282895</v>
      </c>
      <c r="F77" s="597"/>
      <c r="G77" s="597"/>
      <c r="H77" s="612" t="s">
        <v>916</v>
      </c>
      <c r="I77" s="602">
        <f t="shared" si="5"/>
        <v>2979282895</v>
      </c>
      <c r="J77" s="604"/>
    </row>
    <row r="78" spans="1:11" s="593" customFormat="1" ht="54" customHeight="1">
      <c r="A78" s="597"/>
      <c r="B78" s="597"/>
      <c r="C78" s="597"/>
      <c r="D78" s="613" t="s">
        <v>917</v>
      </c>
      <c r="E78" s="601">
        <v>129600000</v>
      </c>
      <c r="F78" s="597"/>
      <c r="G78" s="597"/>
      <c r="H78" s="613" t="s">
        <v>918</v>
      </c>
      <c r="I78" s="602">
        <f t="shared" si="5"/>
        <v>129600000</v>
      </c>
      <c r="J78" s="604"/>
    </row>
    <row r="79" spans="1:11" s="33" customFormat="1" ht="53.25" customHeight="1">
      <c r="A79" s="394"/>
      <c r="B79" s="394">
        <v>2577</v>
      </c>
      <c r="C79" s="596">
        <v>45268</v>
      </c>
      <c r="D79" s="614" t="s">
        <v>919</v>
      </c>
      <c r="E79" s="606">
        <f>SUM(E80:E81)</f>
        <v>162758605</v>
      </c>
      <c r="F79" s="394"/>
      <c r="G79" s="394"/>
      <c r="H79" s="583"/>
      <c r="I79" s="607">
        <f t="shared" si="5"/>
        <v>162758605</v>
      </c>
      <c r="J79" s="578"/>
    </row>
    <row r="80" spans="1:11" s="33" customFormat="1" ht="27.75" customHeight="1">
      <c r="A80" s="394"/>
      <c r="B80" s="394"/>
      <c r="C80" s="394"/>
      <c r="D80" s="612" t="s">
        <v>913</v>
      </c>
      <c r="E80" s="601">
        <v>6212500</v>
      </c>
      <c r="F80" s="394"/>
      <c r="G80" s="394"/>
      <c r="H80" s="612" t="s">
        <v>914</v>
      </c>
      <c r="I80" s="601">
        <v>6212500</v>
      </c>
      <c r="J80" s="578"/>
    </row>
    <row r="81" spans="1:12" s="33" customFormat="1" ht="27.75" customHeight="1">
      <c r="A81" s="394"/>
      <c r="B81" s="394"/>
      <c r="C81" s="394"/>
      <c r="D81" s="612" t="s">
        <v>915</v>
      </c>
      <c r="E81" s="601">
        <v>156546105</v>
      </c>
      <c r="F81" s="394"/>
      <c r="G81" s="394"/>
      <c r="H81" s="612" t="s">
        <v>920</v>
      </c>
      <c r="I81" s="601">
        <v>156546105</v>
      </c>
      <c r="J81" s="578"/>
    </row>
    <row r="82" spans="1:12" s="33" customFormat="1" ht="74.25" customHeight="1">
      <c r="A82" s="394"/>
      <c r="B82" s="394" t="s">
        <v>921</v>
      </c>
      <c r="C82" s="394"/>
      <c r="D82" s="614" t="s">
        <v>922</v>
      </c>
      <c r="E82" s="606">
        <f>SUM(E83:E84)</f>
        <v>793443800</v>
      </c>
      <c r="F82" s="394"/>
      <c r="G82" s="394"/>
      <c r="H82" s="189" t="s">
        <v>78</v>
      </c>
      <c r="I82" s="607">
        <f>+E82</f>
        <v>793443800</v>
      </c>
      <c r="J82" s="578"/>
    </row>
    <row r="83" spans="1:12" s="33" customFormat="1" ht="48.75" customHeight="1">
      <c r="A83" s="394"/>
      <c r="B83" s="394"/>
      <c r="C83" s="394"/>
      <c r="D83" s="189" t="s">
        <v>923</v>
      </c>
      <c r="E83" s="606">
        <v>793242800</v>
      </c>
      <c r="F83" s="394"/>
      <c r="G83" s="394"/>
      <c r="H83" s="189" t="s">
        <v>924</v>
      </c>
      <c r="I83" s="607">
        <f>+E83</f>
        <v>793242800</v>
      </c>
      <c r="J83" s="578"/>
    </row>
    <row r="84" spans="1:12" s="33" customFormat="1" ht="42.75" customHeight="1">
      <c r="A84" s="615"/>
      <c r="B84" s="615"/>
      <c r="C84" s="615"/>
      <c r="D84" s="388" t="s">
        <v>925</v>
      </c>
      <c r="E84" s="616">
        <v>201000</v>
      </c>
      <c r="F84" s="615"/>
      <c r="G84" s="615"/>
      <c r="H84" s="388" t="s">
        <v>926</v>
      </c>
      <c r="I84" s="617">
        <f>+E84</f>
        <v>201000</v>
      </c>
      <c r="J84" s="618"/>
    </row>
    <row r="85" spans="1:12">
      <c r="E85" s="619"/>
    </row>
    <row r="86" spans="1:12" s="420" customFormat="1" ht="18.75">
      <c r="A86" s="396"/>
      <c r="B86" s="28"/>
      <c r="H86" s="1862" t="s">
        <v>741</v>
      </c>
      <c r="I86" s="1862"/>
      <c r="J86" s="1862"/>
      <c r="K86" s="386"/>
      <c r="L86" s="386"/>
    </row>
    <row r="87" spans="1:12" s="713" customFormat="1" ht="24.75" customHeight="1">
      <c r="A87" s="1863" t="s">
        <v>406</v>
      </c>
      <c r="B87" s="1863"/>
      <c r="C87" s="1863"/>
      <c r="D87" s="1863"/>
      <c r="H87" s="1863" t="s">
        <v>580</v>
      </c>
      <c r="I87" s="1863"/>
      <c r="J87" s="1863"/>
      <c r="K87" s="714"/>
      <c r="L87" s="714"/>
    </row>
    <row r="88" spans="1:12" s="713" customFormat="1" ht="24.75" customHeight="1">
      <c r="A88" s="1864" t="s">
        <v>407</v>
      </c>
      <c r="B88" s="1864"/>
      <c r="C88" s="1864"/>
      <c r="D88" s="1864"/>
      <c r="H88" s="1864" t="s">
        <v>151</v>
      </c>
      <c r="I88" s="1864"/>
      <c r="J88" s="1864"/>
      <c r="K88" s="715"/>
      <c r="L88" s="715"/>
    </row>
    <row r="89" spans="1:12" s="411" customFormat="1" ht="15">
      <c r="A89" s="28"/>
      <c r="B89" s="28"/>
      <c r="H89" s="211"/>
      <c r="I89" s="28"/>
      <c r="J89" s="28"/>
      <c r="K89" s="28"/>
    </row>
    <row r="90" spans="1:12" s="411" customFormat="1" ht="15">
      <c r="A90" s="28"/>
      <c r="B90" s="28"/>
      <c r="H90" s="211"/>
      <c r="I90" s="28"/>
      <c r="J90" s="28"/>
      <c r="K90" s="28"/>
    </row>
    <row r="91" spans="1:12" s="411" customFormat="1" ht="15">
      <c r="A91" s="28"/>
      <c r="B91" s="28"/>
      <c r="H91" s="211"/>
      <c r="I91" s="28"/>
      <c r="J91" s="28"/>
      <c r="K91" s="28"/>
    </row>
    <row r="92" spans="1:12" s="411" customFormat="1" ht="30" customHeight="1">
      <c r="A92" s="28"/>
      <c r="B92" s="28"/>
      <c r="H92" s="211"/>
      <c r="I92" s="28"/>
      <c r="J92" s="28"/>
      <c r="K92" s="28"/>
    </row>
    <row r="93" spans="1:12" s="411" customFormat="1" ht="15">
      <c r="A93" s="28"/>
      <c r="B93" s="28"/>
      <c r="H93" s="211"/>
      <c r="I93" s="28"/>
      <c r="J93" s="28"/>
      <c r="K93" s="28"/>
    </row>
    <row r="94" spans="1:12" s="411" customFormat="1" ht="15">
      <c r="A94" s="28"/>
      <c r="B94" s="28"/>
      <c r="H94" s="211"/>
      <c r="I94" s="28"/>
      <c r="J94" s="28"/>
      <c r="K94" s="28"/>
    </row>
    <row r="95" spans="1:12" s="716" customFormat="1" ht="26.25">
      <c r="A95" s="1859" t="s">
        <v>513</v>
      </c>
      <c r="B95" s="1859"/>
      <c r="C95" s="1859"/>
      <c r="D95" s="1859"/>
      <c r="H95" s="1859" t="s">
        <v>553</v>
      </c>
      <c r="I95" s="1859"/>
      <c r="J95" s="1859"/>
      <c r="K95" s="717"/>
      <c r="L95" s="717"/>
    </row>
    <row r="96" spans="1:12" s="411" customFormat="1">
      <c r="H96" s="486"/>
    </row>
  </sheetData>
  <mergeCells count="19">
    <mergeCell ref="A2:J2"/>
    <mergeCell ref="A4:E4"/>
    <mergeCell ref="F4:I4"/>
    <mergeCell ref="J4:J5"/>
    <mergeCell ref="F45:F47"/>
    <mergeCell ref="G45:G47"/>
    <mergeCell ref="H45:H47"/>
    <mergeCell ref="A95:D95"/>
    <mergeCell ref="F5:G5"/>
    <mergeCell ref="B5:C5"/>
    <mergeCell ref="H86:J86"/>
    <mergeCell ref="H87:J87"/>
    <mergeCell ref="H88:J88"/>
    <mergeCell ref="H95:J95"/>
    <mergeCell ref="A87:D87"/>
    <mergeCell ref="A88:D88"/>
    <mergeCell ref="F63:F66"/>
    <mergeCell ref="G63:G66"/>
    <mergeCell ref="H63:H66"/>
  </mergeCells>
  <pageMargins left="0.24" right="0.18" top="0.75" bottom="0.75" header="0.3" footer="0.3"/>
  <pageSetup paperSize="8" scale="90" orientation="landscape"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Q75"/>
  <sheetViews>
    <sheetView topLeftCell="A46" workbookViewId="0">
      <selection activeCell="D15" sqref="D15"/>
    </sheetView>
  </sheetViews>
  <sheetFormatPr defaultRowHeight="12.75"/>
  <cols>
    <col min="1" max="1" width="6.42578125" style="411" customWidth="1"/>
    <col min="2" max="2" width="52.28515625" style="411" customWidth="1"/>
    <col min="3" max="3" width="23.7109375" style="411" customWidth="1"/>
    <col min="4" max="4" width="24.5703125" style="411" customWidth="1"/>
    <col min="5" max="5" width="18.28515625" style="411" customWidth="1"/>
    <col min="6" max="6" width="18" style="411" customWidth="1"/>
    <col min="7" max="7" width="15" style="411" bestFit="1" customWidth="1"/>
    <col min="8" max="8" width="16.7109375" style="411" customWidth="1"/>
    <col min="9" max="9" width="12.28515625" style="411" customWidth="1"/>
    <col min="10" max="10" width="11.28515625" style="411" customWidth="1"/>
    <col min="11" max="11" width="8.7109375" style="411" customWidth="1"/>
    <col min="12" max="12" width="10.7109375" style="411" customWidth="1"/>
    <col min="13" max="13" width="13" style="411" customWidth="1"/>
    <col min="14" max="256" width="9.28515625" style="411"/>
    <col min="257" max="257" width="6.42578125" style="411" customWidth="1"/>
    <col min="258" max="258" width="52.28515625" style="411" customWidth="1"/>
    <col min="259" max="259" width="23.7109375" style="411" customWidth="1"/>
    <col min="260" max="260" width="24.5703125" style="411" customWidth="1"/>
    <col min="261" max="261" width="18.28515625" style="411" customWidth="1"/>
    <col min="262" max="262" width="18" style="411" customWidth="1"/>
    <col min="263" max="263" width="15" style="411" bestFit="1" customWidth="1"/>
    <col min="264" max="264" width="16.7109375" style="411" customWidth="1"/>
    <col min="265" max="265" width="12.28515625" style="411" customWidth="1"/>
    <col min="266" max="266" width="11.28515625" style="411" customWidth="1"/>
    <col min="267" max="267" width="8.7109375" style="411" customWidth="1"/>
    <col min="268" max="268" width="10.7109375" style="411" customWidth="1"/>
    <col min="269" max="269" width="13" style="411" customWidth="1"/>
    <col min="270" max="512" width="9.28515625" style="411"/>
    <col min="513" max="513" width="6.42578125" style="411" customWidth="1"/>
    <col min="514" max="514" width="52.28515625" style="411" customWidth="1"/>
    <col min="515" max="515" width="23.7109375" style="411" customWidth="1"/>
    <col min="516" max="516" width="24.5703125" style="411" customWidth="1"/>
    <col min="517" max="517" width="18.28515625" style="411" customWidth="1"/>
    <col min="518" max="518" width="18" style="411" customWidth="1"/>
    <col min="519" max="519" width="15" style="411" bestFit="1" customWidth="1"/>
    <col min="520" max="520" width="16.7109375" style="411" customWidth="1"/>
    <col min="521" max="521" width="12.28515625" style="411" customWidth="1"/>
    <col min="522" max="522" width="11.28515625" style="411" customWidth="1"/>
    <col min="523" max="523" width="8.7109375" style="411" customWidth="1"/>
    <col min="524" max="524" width="10.7109375" style="411" customWidth="1"/>
    <col min="525" max="525" width="13" style="411" customWidth="1"/>
    <col min="526" max="768" width="9.28515625" style="411"/>
    <col min="769" max="769" width="6.42578125" style="411" customWidth="1"/>
    <col min="770" max="770" width="52.28515625" style="411" customWidth="1"/>
    <col min="771" max="771" width="23.7109375" style="411" customWidth="1"/>
    <col min="772" max="772" width="24.5703125" style="411" customWidth="1"/>
    <col min="773" max="773" width="18.28515625" style="411" customWidth="1"/>
    <col min="774" max="774" width="18" style="411" customWidth="1"/>
    <col min="775" max="775" width="15" style="411" bestFit="1" customWidth="1"/>
    <col min="776" max="776" width="16.7109375" style="411" customWidth="1"/>
    <col min="777" max="777" width="12.28515625" style="411" customWidth="1"/>
    <col min="778" max="778" width="11.28515625" style="411" customWidth="1"/>
    <col min="779" max="779" width="8.7109375" style="411" customWidth="1"/>
    <col min="780" max="780" width="10.7109375" style="411" customWidth="1"/>
    <col min="781" max="781" width="13" style="411" customWidth="1"/>
    <col min="782" max="1024" width="9.28515625" style="411"/>
    <col min="1025" max="1025" width="6.42578125" style="411" customWidth="1"/>
    <col min="1026" max="1026" width="52.28515625" style="411" customWidth="1"/>
    <col min="1027" max="1027" width="23.7109375" style="411" customWidth="1"/>
    <col min="1028" max="1028" width="24.5703125" style="411" customWidth="1"/>
    <col min="1029" max="1029" width="18.28515625" style="411" customWidth="1"/>
    <col min="1030" max="1030" width="18" style="411" customWidth="1"/>
    <col min="1031" max="1031" width="15" style="411" bestFit="1" customWidth="1"/>
    <col min="1032" max="1032" width="16.7109375" style="411" customWidth="1"/>
    <col min="1033" max="1033" width="12.28515625" style="411" customWidth="1"/>
    <col min="1034" max="1034" width="11.28515625" style="411" customWidth="1"/>
    <col min="1035" max="1035" width="8.7109375" style="411" customWidth="1"/>
    <col min="1036" max="1036" width="10.7109375" style="411" customWidth="1"/>
    <col min="1037" max="1037" width="13" style="411" customWidth="1"/>
    <col min="1038" max="1280" width="9.28515625" style="411"/>
    <col min="1281" max="1281" width="6.42578125" style="411" customWidth="1"/>
    <col min="1282" max="1282" width="52.28515625" style="411" customWidth="1"/>
    <col min="1283" max="1283" width="23.7109375" style="411" customWidth="1"/>
    <col min="1284" max="1284" width="24.5703125" style="411" customWidth="1"/>
    <col min="1285" max="1285" width="18.28515625" style="411" customWidth="1"/>
    <col min="1286" max="1286" width="18" style="411" customWidth="1"/>
    <col min="1287" max="1287" width="15" style="411" bestFit="1" customWidth="1"/>
    <col min="1288" max="1288" width="16.7109375" style="411" customWidth="1"/>
    <col min="1289" max="1289" width="12.28515625" style="411" customWidth="1"/>
    <col min="1290" max="1290" width="11.28515625" style="411" customWidth="1"/>
    <col min="1291" max="1291" width="8.7109375" style="411" customWidth="1"/>
    <col min="1292" max="1292" width="10.7109375" style="411" customWidth="1"/>
    <col min="1293" max="1293" width="13" style="411" customWidth="1"/>
    <col min="1294" max="1536" width="9.28515625" style="411"/>
    <col min="1537" max="1537" width="6.42578125" style="411" customWidth="1"/>
    <col min="1538" max="1538" width="52.28515625" style="411" customWidth="1"/>
    <col min="1539" max="1539" width="23.7109375" style="411" customWidth="1"/>
    <col min="1540" max="1540" width="24.5703125" style="411" customWidth="1"/>
    <col min="1541" max="1541" width="18.28515625" style="411" customWidth="1"/>
    <col min="1542" max="1542" width="18" style="411" customWidth="1"/>
    <col min="1543" max="1543" width="15" style="411" bestFit="1" customWidth="1"/>
    <col min="1544" max="1544" width="16.7109375" style="411" customWidth="1"/>
    <col min="1545" max="1545" width="12.28515625" style="411" customWidth="1"/>
    <col min="1546" max="1546" width="11.28515625" style="411" customWidth="1"/>
    <col min="1547" max="1547" width="8.7109375" style="411" customWidth="1"/>
    <col min="1548" max="1548" width="10.7109375" style="411" customWidth="1"/>
    <col min="1549" max="1549" width="13" style="411" customWidth="1"/>
    <col min="1550" max="1792" width="9.28515625" style="411"/>
    <col min="1793" max="1793" width="6.42578125" style="411" customWidth="1"/>
    <col min="1794" max="1794" width="52.28515625" style="411" customWidth="1"/>
    <col min="1795" max="1795" width="23.7109375" style="411" customWidth="1"/>
    <col min="1796" max="1796" width="24.5703125" style="411" customWidth="1"/>
    <col min="1797" max="1797" width="18.28515625" style="411" customWidth="1"/>
    <col min="1798" max="1798" width="18" style="411" customWidth="1"/>
    <col min="1799" max="1799" width="15" style="411" bestFit="1" customWidth="1"/>
    <col min="1800" max="1800" width="16.7109375" style="411" customWidth="1"/>
    <col min="1801" max="1801" width="12.28515625" style="411" customWidth="1"/>
    <col min="1802" max="1802" width="11.28515625" style="411" customWidth="1"/>
    <col min="1803" max="1803" width="8.7109375" style="411" customWidth="1"/>
    <col min="1804" max="1804" width="10.7109375" style="411" customWidth="1"/>
    <col min="1805" max="1805" width="13" style="411" customWidth="1"/>
    <col min="1806" max="2048" width="9.28515625" style="411"/>
    <col min="2049" max="2049" width="6.42578125" style="411" customWidth="1"/>
    <col min="2050" max="2050" width="52.28515625" style="411" customWidth="1"/>
    <col min="2051" max="2051" width="23.7109375" style="411" customWidth="1"/>
    <col min="2052" max="2052" width="24.5703125" style="411" customWidth="1"/>
    <col min="2053" max="2053" width="18.28515625" style="411" customWidth="1"/>
    <col min="2054" max="2054" width="18" style="411" customWidth="1"/>
    <col min="2055" max="2055" width="15" style="411" bestFit="1" customWidth="1"/>
    <col min="2056" max="2056" width="16.7109375" style="411" customWidth="1"/>
    <col min="2057" max="2057" width="12.28515625" style="411" customWidth="1"/>
    <col min="2058" max="2058" width="11.28515625" style="411" customWidth="1"/>
    <col min="2059" max="2059" width="8.7109375" style="411" customWidth="1"/>
    <col min="2060" max="2060" width="10.7109375" style="411" customWidth="1"/>
    <col min="2061" max="2061" width="13" style="411" customWidth="1"/>
    <col min="2062" max="2304" width="9.28515625" style="411"/>
    <col min="2305" max="2305" width="6.42578125" style="411" customWidth="1"/>
    <col min="2306" max="2306" width="52.28515625" style="411" customWidth="1"/>
    <col min="2307" max="2307" width="23.7109375" style="411" customWidth="1"/>
    <col min="2308" max="2308" width="24.5703125" style="411" customWidth="1"/>
    <col min="2309" max="2309" width="18.28515625" style="411" customWidth="1"/>
    <col min="2310" max="2310" width="18" style="411" customWidth="1"/>
    <col min="2311" max="2311" width="15" style="411" bestFit="1" customWidth="1"/>
    <col min="2312" max="2312" width="16.7109375" style="411" customWidth="1"/>
    <col min="2313" max="2313" width="12.28515625" style="411" customWidth="1"/>
    <col min="2314" max="2314" width="11.28515625" style="411" customWidth="1"/>
    <col min="2315" max="2315" width="8.7109375" style="411" customWidth="1"/>
    <col min="2316" max="2316" width="10.7109375" style="411" customWidth="1"/>
    <col min="2317" max="2317" width="13" style="411" customWidth="1"/>
    <col min="2318" max="2560" width="9.28515625" style="411"/>
    <col min="2561" max="2561" width="6.42578125" style="411" customWidth="1"/>
    <col min="2562" max="2562" width="52.28515625" style="411" customWidth="1"/>
    <col min="2563" max="2563" width="23.7109375" style="411" customWidth="1"/>
    <col min="2564" max="2564" width="24.5703125" style="411" customWidth="1"/>
    <col min="2565" max="2565" width="18.28515625" style="411" customWidth="1"/>
    <col min="2566" max="2566" width="18" style="411" customWidth="1"/>
    <col min="2567" max="2567" width="15" style="411" bestFit="1" customWidth="1"/>
    <col min="2568" max="2568" width="16.7109375" style="411" customWidth="1"/>
    <col min="2569" max="2569" width="12.28515625" style="411" customWidth="1"/>
    <col min="2570" max="2570" width="11.28515625" style="411" customWidth="1"/>
    <col min="2571" max="2571" width="8.7109375" style="411" customWidth="1"/>
    <col min="2572" max="2572" width="10.7109375" style="411" customWidth="1"/>
    <col min="2573" max="2573" width="13" style="411" customWidth="1"/>
    <col min="2574" max="2816" width="9.28515625" style="411"/>
    <col min="2817" max="2817" width="6.42578125" style="411" customWidth="1"/>
    <col min="2818" max="2818" width="52.28515625" style="411" customWidth="1"/>
    <col min="2819" max="2819" width="23.7109375" style="411" customWidth="1"/>
    <col min="2820" max="2820" width="24.5703125" style="411" customWidth="1"/>
    <col min="2821" max="2821" width="18.28515625" style="411" customWidth="1"/>
    <col min="2822" max="2822" width="18" style="411" customWidth="1"/>
    <col min="2823" max="2823" width="15" style="411" bestFit="1" customWidth="1"/>
    <col min="2824" max="2824" width="16.7109375" style="411" customWidth="1"/>
    <col min="2825" max="2825" width="12.28515625" style="411" customWidth="1"/>
    <col min="2826" max="2826" width="11.28515625" style="411" customWidth="1"/>
    <col min="2827" max="2827" width="8.7109375" style="411" customWidth="1"/>
    <col min="2828" max="2828" width="10.7109375" style="411" customWidth="1"/>
    <col min="2829" max="2829" width="13" style="411" customWidth="1"/>
    <col min="2830" max="3072" width="9.28515625" style="411"/>
    <col min="3073" max="3073" width="6.42578125" style="411" customWidth="1"/>
    <col min="3074" max="3074" width="52.28515625" style="411" customWidth="1"/>
    <col min="3075" max="3075" width="23.7109375" style="411" customWidth="1"/>
    <col min="3076" max="3076" width="24.5703125" style="411" customWidth="1"/>
    <col min="3077" max="3077" width="18.28515625" style="411" customWidth="1"/>
    <col min="3078" max="3078" width="18" style="411" customWidth="1"/>
    <col min="3079" max="3079" width="15" style="411" bestFit="1" customWidth="1"/>
    <col min="3080" max="3080" width="16.7109375" style="411" customWidth="1"/>
    <col min="3081" max="3081" width="12.28515625" style="411" customWidth="1"/>
    <col min="3082" max="3082" width="11.28515625" style="411" customWidth="1"/>
    <col min="3083" max="3083" width="8.7109375" style="411" customWidth="1"/>
    <col min="3084" max="3084" width="10.7109375" style="411" customWidth="1"/>
    <col min="3085" max="3085" width="13" style="411" customWidth="1"/>
    <col min="3086" max="3328" width="9.28515625" style="411"/>
    <col min="3329" max="3329" width="6.42578125" style="411" customWidth="1"/>
    <col min="3330" max="3330" width="52.28515625" style="411" customWidth="1"/>
    <col min="3331" max="3331" width="23.7109375" style="411" customWidth="1"/>
    <col min="3332" max="3332" width="24.5703125" style="411" customWidth="1"/>
    <col min="3333" max="3333" width="18.28515625" style="411" customWidth="1"/>
    <col min="3334" max="3334" width="18" style="411" customWidth="1"/>
    <col min="3335" max="3335" width="15" style="411" bestFit="1" customWidth="1"/>
    <col min="3336" max="3336" width="16.7109375" style="411" customWidth="1"/>
    <col min="3337" max="3337" width="12.28515625" style="411" customWidth="1"/>
    <col min="3338" max="3338" width="11.28515625" style="411" customWidth="1"/>
    <col min="3339" max="3339" width="8.7109375" style="411" customWidth="1"/>
    <col min="3340" max="3340" width="10.7109375" style="411" customWidth="1"/>
    <col min="3341" max="3341" width="13" style="411" customWidth="1"/>
    <col min="3342" max="3584" width="9.28515625" style="411"/>
    <col min="3585" max="3585" width="6.42578125" style="411" customWidth="1"/>
    <col min="3586" max="3586" width="52.28515625" style="411" customWidth="1"/>
    <col min="3587" max="3587" width="23.7109375" style="411" customWidth="1"/>
    <col min="3588" max="3588" width="24.5703125" style="411" customWidth="1"/>
    <col min="3589" max="3589" width="18.28515625" style="411" customWidth="1"/>
    <col min="3590" max="3590" width="18" style="411" customWidth="1"/>
    <col min="3591" max="3591" width="15" style="411" bestFit="1" customWidth="1"/>
    <col min="3592" max="3592" width="16.7109375" style="411" customWidth="1"/>
    <col min="3593" max="3593" width="12.28515625" style="411" customWidth="1"/>
    <col min="3594" max="3594" width="11.28515625" style="411" customWidth="1"/>
    <col min="3595" max="3595" width="8.7109375" style="411" customWidth="1"/>
    <col min="3596" max="3596" width="10.7109375" style="411" customWidth="1"/>
    <col min="3597" max="3597" width="13" style="411" customWidth="1"/>
    <col min="3598" max="3840" width="9.28515625" style="411"/>
    <col min="3841" max="3841" width="6.42578125" style="411" customWidth="1"/>
    <col min="3842" max="3842" width="52.28515625" style="411" customWidth="1"/>
    <col min="3843" max="3843" width="23.7109375" style="411" customWidth="1"/>
    <col min="3844" max="3844" width="24.5703125" style="411" customWidth="1"/>
    <col min="3845" max="3845" width="18.28515625" style="411" customWidth="1"/>
    <col min="3846" max="3846" width="18" style="411" customWidth="1"/>
    <col min="3847" max="3847" width="15" style="411" bestFit="1" customWidth="1"/>
    <col min="3848" max="3848" width="16.7109375" style="411" customWidth="1"/>
    <col min="3849" max="3849" width="12.28515625" style="411" customWidth="1"/>
    <col min="3850" max="3850" width="11.28515625" style="411" customWidth="1"/>
    <col min="3851" max="3851" width="8.7109375" style="411" customWidth="1"/>
    <col min="3852" max="3852" width="10.7109375" style="411" customWidth="1"/>
    <col min="3853" max="3853" width="13" style="411" customWidth="1"/>
    <col min="3854" max="4096" width="9.28515625" style="411"/>
    <col min="4097" max="4097" width="6.42578125" style="411" customWidth="1"/>
    <col min="4098" max="4098" width="52.28515625" style="411" customWidth="1"/>
    <col min="4099" max="4099" width="23.7109375" style="411" customWidth="1"/>
    <col min="4100" max="4100" width="24.5703125" style="411" customWidth="1"/>
    <col min="4101" max="4101" width="18.28515625" style="411" customWidth="1"/>
    <col min="4102" max="4102" width="18" style="411" customWidth="1"/>
    <col min="4103" max="4103" width="15" style="411" bestFit="1" customWidth="1"/>
    <col min="4104" max="4104" width="16.7109375" style="411" customWidth="1"/>
    <col min="4105" max="4105" width="12.28515625" style="411" customWidth="1"/>
    <col min="4106" max="4106" width="11.28515625" style="411" customWidth="1"/>
    <col min="4107" max="4107" width="8.7109375" style="411" customWidth="1"/>
    <col min="4108" max="4108" width="10.7109375" style="411" customWidth="1"/>
    <col min="4109" max="4109" width="13" style="411" customWidth="1"/>
    <col min="4110" max="4352" width="9.28515625" style="411"/>
    <col min="4353" max="4353" width="6.42578125" style="411" customWidth="1"/>
    <col min="4354" max="4354" width="52.28515625" style="411" customWidth="1"/>
    <col min="4355" max="4355" width="23.7109375" style="411" customWidth="1"/>
    <col min="4356" max="4356" width="24.5703125" style="411" customWidth="1"/>
    <col min="4357" max="4357" width="18.28515625" style="411" customWidth="1"/>
    <col min="4358" max="4358" width="18" style="411" customWidth="1"/>
    <col min="4359" max="4359" width="15" style="411" bestFit="1" customWidth="1"/>
    <col min="4360" max="4360" width="16.7109375" style="411" customWidth="1"/>
    <col min="4361" max="4361" width="12.28515625" style="411" customWidth="1"/>
    <col min="4362" max="4362" width="11.28515625" style="411" customWidth="1"/>
    <col min="4363" max="4363" width="8.7109375" style="411" customWidth="1"/>
    <col min="4364" max="4364" width="10.7109375" style="411" customWidth="1"/>
    <col min="4365" max="4365" width="13" style="411" customWidth="1"/>
    <col min="4366" max="4608" width="9.28515625" style="411"/>
    <col min="4609" max="4609" width="6.42578125" style="411" customWidth="1"/>
    <col min="4610" max="4610" width="52.28515625" style="411" customWidth="1"/>
    <col min="4611" max="4611" width="23.7109375" style="411" customWidth="1"/>
    <col min="4612" max="4612" width="24.5703125" style="411" customWidth="1"/>
    <col min="4613" max="4613" width="18.28515625" style="411" customWidth="1"/>
    <col min="4614" max="4614" width="18" style="411" customWidth="1"/>
    <col min="4615" max="4615" width="15" style="411" bestFit="1" customWidth="1"/>
    <col min="4616" max="4616" width="16.7109375" style="411" customWidth="1"/>
    <col min="4617" max="4617" width="12.28515625" style="411" customWidth="1"/>
    <col min="4618" max="4618" width="11.28515625" style="411" customWidth="1"/>
    <col min="4619" max="4619" width="8.7109375" style="411" customWidth="1"/>
    <col min="4620" max="4620" width="10.7109375" style="411" customWidth="1"/>
    <col min="4621" max="4621" width="13" style="411" customWidth="1"/>
    <col min="4622" max="4864" width="9.28515625" style="411"/>
    <col min="4865" max="4865" width="6.42578125" style="411" customWidth="1"/>
    <col min="4866" max="4866" width="52.28515625" style="411" customWidth="1"/>
    <col min="4867" max="4867" width="23.7109375" style="411" customWidth="1"/>
    <col min="4868" max="4868" width="24.5703125" style="411" customWidth="1"/>
    <col min="4869" max="4869" width="18.28515625" style="411" customWidth="1"/>
    <col min="4870" max="4870" width="18" style="411" customWidth="1"/>
    <col min="4871" max="4871" width="15" style="411" bestFit="1" customWidth="1"/>
    <col min="4872" max="4872" width="16.7109375" style="411" customWidth="1"/>
    <col min="4873" max="4873" width="12.28515625" style="411" customWidth="1"/>
    <col min="4874" max="4874" width="11.28515625" style="411" customWidth="1"/>
    <col min="4875" max="4875" width="8.7109375" style="411" customWidth="1"/>
    <col min="4876" max="4876" width="10.7109375" style="411" customWidth="1"/>
    <col min="4877" max="4877" width="13" style="411" customWidth="1"/>
    <col min="4878" max="5120" width="9.28515625" style="411"/>
    <col min="5121" max="5121" width="6.42578125" style="411" customWidth="1"/>
    <col min="5122" max="5122" width="52.28515625" style="411" customWidth="1"/>
    <col min="5123" max="5123" width="23.7109375" style="411" customWidth="1"/>
    <col min="5124" max="5124" width="24.5703125" style="411" customWidth="1"/>
    <col min="5125" max="5125" width="18.28515625" style="411" customWidth="1"/>
    <col min="5126" max="5126" width="18" style="411" customWidth="1"/>
    <col min="5127" max="5127" width="15" style="411" bestFit="1" customWidth="1"/>
    <col min="5128" max="5128" width="16.7109375" style="411" customWidth="1"/>
    <col min="5129" max="5129" width="12.28515625" style="411" customWidth="1"/>
    <col min="5130" max="5130" width="11.28515625" style="411" customWidth="1"/>
    <col min="5131" max="5131" width="8.7109375" style="411" customWidth="1"/>
    <col min="5132" max="5132" width="10.7109375" style="411" customWidth="1"/>
    <col min="5133" max="5133" width="13" style="411" customWidth="1"/>
    <col min="5134" max="5376" width="9.28515625" style="411"/>
    <col min="5377" max="5377" width="6.42578125" style="411" customWidth="1"/>
    <col min="5378" max="5378" width="52.28515625" style="411" customWidth="1"/>
    <col min="5379" max="5379" width="23.7109375" style="411" customWidth="1"/>
    <col min="5380" max="5380" width="24.5703125" style="411" customWidth="1"/>
    <col min="5381" max="5381" width="18.28515625" style="411" customWidth="1"/>
    <col min="5382" max="5382" width="18" style="411" customWidth="1"/>
    <col min="5383" max="5383" width="15" style="411" bestFit="1" customWidth="1"/>
    <col min="5384" max="5384" width="16.7109375" style="411" customWidth="1"/>
    <col min="5385" max="5385" width="12.28515625" style="411" customWidth="1"/>
    <col min="5386" max="5386" width="11.28515625" style="411" customWidth="1"/>
    <col min="5387" max="5387" width="8.7109375" style="411" customWidth="1"/>
    <col min="5388" max="5388" width="10.7109375" style="411" customWidth="1"/>
    <col min="5389" max="5389" width="13" style="411" customWidth="1"/>
    <col min="5390" max="5632" width="9.28515625" style="411"/>
    <col min="5633" max="5633" width="6.42578125" style="411" customWidth="1"/>
    <col min="5634" max="5634" width="52.28515625" style="411" customWidth="1"/>
    <col min="5635" max="5635" width="23.7109375" style="411" customWidth="1"/>
    <col min="5636" max="5636" width="24.5703125" style="411" customWidth="1"/>
    <col min="5637" max="5637" width="18.28515625" style="411" customWidth="1"/>
    <col min="5638" max="5638" width="18" style="411" customWidth="1"/>
    <col min="5639" max="5639" width="15" style="411" bestFit="1" customWidth="1"/>
    <col min="5640" max="5640" width="16.7109375" style="411" customWidth="1"/>
    <col min="5641" max="5641" width="12.28515625" style="411" customWidth="1"/>
    <col min="5642" max="5642" width="11.28515625" style="411" customWidth="1"/>
    <col min="5643" max="5643" width="8.7109375" style="411" customWidth="1"/>
    <col min="5644" max="5644" width="10.7109375" style="411" customWidth="1"/>
    <col min="5645" max="5645" width="13" style="411" customWidth="1"/>
    <col min="5646" max="5888" width="9.28515625" style="411"/>
    <col min="5889" max="5889" width="6.42578125" style="411" customWidth="1"/>
    <col min="5890" max="5890" width="52.28515625" style="411" customWidth="1"/>
    <col min="5891" max="5891" width="23.7109375" style="411" customWidth="1"/>
    <col min="5892" max="5892" width="24.5703125" style="411" customWidth="1"/>
    <col min="5893" max="5893" width="18.28515625" style="411" customWidth="1"/>
    <col min="5894" max="5894" width="18" style="411" customWidth="1"/>
    <col min="5895" max="5895" width="15" style="411" bestFit="1" customWidth="1"/>
    <col min="5896" max="5896" width="16.7109375" style="411" customWidth="1"/>
    <col min="5897" max="5897" width="12.28515625" style="411" customWidth="1"/>
    <col min="5898" max="5898" width="11.28515625" style="411" customWidth="1"/>
    <col min="5899" max="5899" width="8.7109375" style="411" customWidth="1"/>
    <col min="5900" max="5900" width="10.7109375" style="411" customWidth="1"/>
    <col min="5901" max="5901" width="13" style="411" customWidth="1"/>
    <col min="5902" max="6144" width="9.28515625" style="411"/>
    <col min="6145" max="6145" width="6.42578125" style="411" customWidth="1"/>
    <col min="6146" max="6146" width="52.28515625" style="411" customWidth="1"/>
    <col min="6147" max="6147" width="23.7109375" style="411" customWidth="1"/>
    <col min="6148" max="6148" width="24.5703125" style="411" customWidth="1"/>
    <col min="6149" max="6149" width="18.28515625" style="411" customWidth="1"/>
    <col min="6150" max="6150" width="18" style="411" customWidth="1"/>
    <col min="6151" max="6151" width="15" style="411" bestFit="1" customWidth="1"/>
    <col min="6152" max="6152" width="16.7109375" style="411" customWidth="1"/>
    <col min="6153" max="6153" width="12.28515625" style="411" customWidth="1"/>
    <col min="6154" max="6154" width="11.28515625" style="411" customWidth="1"/>
    <col min="6155" max="6155" width="8.7109375" style="411" customWidth="1"/>
    <col min="6156" max="6156" width="10.7109375" style="411" customWidth="1"/>
    <col min="6157" max="6157" width="13" style="411" customWidth="1"/>
    <col min="6158" max="6400" width="9.28515625" style="411"/>
    <col min="6401" max="6401" width="6.42578125" style="411" customWidth="1"/>
    <col min="6402" max="6402" width="52.28515625" style="411" customWidth="1"/>
    <col min="6403" max="6403" width="23.7109375" style="411" customWidth="1"/>
    <col min="6404" max="6404" width="24.5703125" style="411" customWidth="1"/>
    <col min="6405" max="6405" width="18.28515625" style="411" customWidth="1"/>
    <col min="6406" max="6406" width="18" style="411" customWidth="1"/>
    <col min="6407" max="6407" width="15" style="411" bestFit="1" customWidth="1"/>
    <col min="6408" max="6408" width="16.7109375" style="411" customWidth="1"/>
    <col min="6409" max="6409" width="12.28515625" style="411" customWidth="1"/>
    <col min="6410" max="6410" width="11.28515625" style="411" customWidth="1"/>
    <col min="6411" max="6411" width="8.7109375" style="411" customWidth="1"/>
    <col min="6412" max="6412" width="10.7109375" style="411" customWidth="1"/>
    <col min="6413" max="6413" width="13" style="411" customWidth="1"/>
    <col min="6414" max="6656" width="9.28515625" style="411"/>
    <col min="6657" max="6657" width="6.42578125" style="411" customWidth="1"/>
    <col min="6658" max="6658" width="52.28515625" style="411" customWidth="1"/>
    <col min="6659" max="6659" width="23.7109375" style="411" customWidth="1"/>
    <col min="6660" max="6660" width="24.5703125" style="411" customWidth="1"/>
    <col min="6661" max="6661" width="18.28515625" style="411" customWidth="1"/>
    <col min="6662" max="6662" width="18" style="411" customWidth="1"/>
    <col min="6663" max="6663" width="15" style="411" bestFit="1" customWidth="1"/>
    <col min="6664" max="6664" width="16.7109375" style="411" customWidth="1"/>
    <col min="6665" max="6665" width="12.28515625" style="411" customWidth="1"/>
    <col min="6666" max="6666" width="11.28515625" style="411" customWidth="1"/>
    <col min="6667" max="6667" width="8.7109375" style="411" customWidth="1"/>
    <col min="6668" max="6668" width="10.7109375" style="411" customWidth="1"/>
    <col min="6669" max="6669" width="13" style="411" customWidth="1"/>
    <col min="6670" max="6912" width="9.28515625" style="411"/>
    <col min="6913" max="6913" width="6.42578125" style="411" customWidth="1"/>
    <col min="6914" max="6914" width="52.28515625" style="411" customWidth="1"/>
    <col min="6915" max="6915" width="23.7109375" style="411" customWidth="1"/>
    <col min="6916" max="6916" width="24.5703125" style="411" customWidth="1"/>
    <col min="6917" max="6917" width="18.28515625" style="411" customWidth="1"/>
    <col min="6918" max="6918" width="18" style="411" customWidth="1"/>
    <col min="6919" max="6919" width="15" style="411" bestFit="1" customWidth="1"/>
    <col min="6920" max="6920" width="16.7109375" style="411" customWidth="1"/>
    <col min="6921" max="6921" width="12.28515625" style="411" customWidth="1"/>
    <col min="6922" max="6922" width="11.28515625" style="411" customWidth="1"/>
    <col min="6923" max="6923" width="8.7109375" style="411" customWidth="1"/>
    <col min="6924" max="6924" width="10.7109375" style="411" customWidth="1"/>
    <col min="6925" max="6925" width="13" style="411" customWidth="1"/>
    <col min="6926" max="7168" width="9.28515625" style="411"/>
    <col min="7169" max="7169" width="6.42578125" style="411" customWidth="1"/>
    <col min="7170" max="7170" width="52.28515625" style="411" customWidth="1"/>
    <col min="7171" max="7171" width="23.7109375" style="411" customWidth="1"/>
    <col min="7172" max="7172" width="24.5703125" style="411" customWidth="1"/>
    <col min="7173" max="7173" width="18.28515625" style="411" customWidth="1"/>
    <col min="7174" max="7174" width="18" style="411" customWidth="1"/>
    <col min="7175" max="7175" width="15" style="411" bestFit="1" customWidth="1"/>
    <col min="7176" max="7176" width="16.7109375" style="411" customWidth="1"/>
    <col min="7177" max="7177" width="12.28515625" style="411" customWidth="1"/>
    <col min="7178" max="7178" width="11.28515625" style="411" customWidth="1"/>
    <col min="7179" max="7179" width="8.7109375" style="411" customWidth="1"/>
    <col min="7180" max="7180" width="10.7109375" style="411" customWidth="1"/>
    <col min="7181" max="7181" width="13" style="411" customWidth="1"/>
    <col min="7182" max="7424" width="9.28515625" style="411"/>
    <col min="7425" max="7425" width="6.42578125" style="411" customWidth="1"/>
    <col min="7426" max="7426" width="52.28515625" style="411" customWidth="1"/>
    <col min="7427" max="7427" width="23.7109375" style="411" customWidth="1"/>
    <col min="7428" max="7428" width="24.5703125" style="411" customWidth="1"/>
    <col min="7429" max="7429" width="18.28515625" style="411" customWidth="1"/>
    <col min="7430" max="7430" width="18" style="411" customWidth="1"/>
    <col min="7431" max="7431" width="15" style="411" bestFit="1" customWidth="1"/>
    <col min="7432" max="7432" width="16.7109375" style="411" customWidth="1"/>
    <col min="7433" max="7433" width="12.28515625" style="411" customWidth="1"/>
    <col min="7434" max="7434" width="11.28515625" style="411" customWidth="1"/>
    <col min="7435" max="7435" width="8.7109375" style="411" customWidth="1"/>
    <col min="7436" max="7436" width="10.7109375" style="411" customWidth="1"/>
    <col min="7437" max="7437" width="13" style="411" customWidth="1"/>
    <col min="7438" max="7680" width="9.28515625" style="411"/>
    <col min="7681" max="7681" width="6.42578125" style="411" customWidth="1"/>
    <col min="7682" max="7682" width="52.28515625" style="411" customWidth="1"/>
    <col min="7683" max="7683" width="23.7109375" style="411" customWidth="1"/>
    <col min="7684" max="7684" width="24.5703125" style="411" customWidth="1"/>
    <col min="7685" max="7685" width="18.28515625" style="411" customWidth="1"/>
    <col min="7686" max="7686" width="18" style="411" customWidth="1"/>
    <col min="7687" max="7687" width="15" style="411" bestFit="1" customWidth="1"/>
    <col min="7688" max="7688" width="16.7109375" style="411" customWidth="1"/>
    <col min="7689" max="7689" width="12.28515625" style="411" customWidth="1"/>
    <col min="7690" max="7690" width="11.28515625" style="411" customWidth="1"/>
    <col min="7691" max="7691" width="8.7109375" style="411" customWidth="1"/>
    <col min="7692" max="7692" width="10.7109375" style="411" customWidth="1"/>
    <col min="7693" max="7693" width="13" style="411" customWidth="1"/>
    <col min="7694" max="7936" width="9.28515625" style="411"/>
    <col min="7937" max="7937" width="6.42578125" style="411" customWidth="1"/>
    <col min="7938" max="7938" width="52.28515625" style="411" customWidth="1"/>
    <col min="7939" max="7939" width="23.7109375" style="411" customWidth="1"/>
    <col min="7940" max="7940" width="24.5703125" style="411" customWidth="1"/>
    <col min="7941" max="7941" width="18.28515625" style="411" customWidth="1"/>
    <col min="7942" max="7942" width="18" style="411" customWidth="1"/>
    <col min="7943" max="7943" width="15" style="411" bestFit="1" customWidth="1"/>
    <col min="7944" max="7944" width="16.7109375" style="411" customWidth="1"/>
    <col min="7945" max="7945" width="12.28515625" style="411" customWidth="1"/>
    <col min="7946" max="7946" width="11.28515625" style="411" customWidth="1"/>
    <col min="7947" max="7947" width="8.7109375" style="411" customWidth="1"/>
    <col min="7948" max="7948" width="10.7109375" style="411" customWidth="1"/>
    <col min="7949" max="7949" width="13" style="411" customWidth="1"/>
    <col min="7950" max="8192" width="9.28515625" style="411"/>
    <col min="8193" max="8193" width="6.42578125" style="411" customWidth="1"/>
    <col min="8194" max="8194" width="52.28515625" style="411" customWidth="1"/>
    <col min="8195" max="8195" width="23.7109375" style="411" customWidth="1"/>
    <col min="8196" max="8196" width="24.5703125" style="411" customWidth="1"/>
    <col min="8197" max="8197" width="18.28515625" style="411" customWidth="1"/>
    <col min="8198" max="8198" width="18" style="411" customWidth="1"/>
    <col min="8199" max="8199" width="15" style="411" bestFit="1" customWidth="1"/>
    <col min="8200" max="8200" width="16.7109375" style="411" customWidth="1"/>
    <col min="8201" max="8201" width="12.28515625" style="411" customWidth="1"/>
    <col min="8202" max="8202" width="11.28515625" style="411" customWidth="1"/>
    <col min="8203" max="8203" width="8.7109375" style="411" customWidth="1"/>
    <col min="8204" max="8204" width="10.7109375" style="411" customWidth="1"/>
    <col min="8205" max="8205" width="13" style="411" customWidth="1"/>
    <col min="8206" max="8448" width="9.28515625" style="411"/>
    <col min="8449" max="8449" width="6.42578125" style="411" customWidth="1"/>
    <col min="8450" max="8450" width="52.28515625" style="411" customWidth="1"/>
    <col min="8451" max="8451" width="23.7109375" style="411" customWidth="1"/>
    <col min="8452" max="8452" width="24.5703125" style="411" customWidth="1"/>
    <col min="8453" max="8453" width="18.28515625" style="411" customWidth="1"/>
    <col min="8454" max="8454" width="18" style="411" customWidth="1"/>
    <col min="8455" max="8455" width="15" style="411" bestFit="1" customWidth="1"/>
    <col min="8456" max="8456" width="16.7109375" style="411" customWidth="1"/>
    <col min="8457" max="8457" width="12.28515625" style="411" customWidth="1"/>
    <col min="8458" max="8458" width="11.28515625" style="411" customWidth="1"/>
    <col min="8459" max="8459" width="8.7109375" style="411" customWidth="1"/>
    <col min="8460" max="8460" width="10.7109375" style="411" customWidth="1"/>
    <col min="8461" max="8461" width="13" style="411" customWidth="1"/>
    <col min="8462" max="8704" width="9.28515625" style="411"/>
    <col min="8705" max="8705" width="6.42578125" style="411" customWidth="1"/>
    <col min="8706" max="8706" width="52.28515625" style="411" customWidth="1"/>
    <col min="8707" max="8707" width="23.7109375" style="411" customWidth="1"/>
    <col min="8708" max="8708" width="24.5703125" style="411" customWidth="1"/>
    <col min="8709" max="8709" width="18.28515625" style="411" customWidth="1"/>
    <col min="8710" max="8710" width="18" style="411" customWidth="1"/>
    <col min="8711" max="8711" width="15" style="411" bestFit="1" customWidth="1"/>
    <col min="8712" max="8712" width="16.7109375" style="411" customWidth="1"/>
    <col min="8713" max="8713" width="12.28515625" style="411" customWidth="1"/>
    <col min="8714" max="8714" width="11.28515625" style="411" customWidth="1"/>
    <col min="8715" max="8715" width="8.7109375" style="411" customWidth="1"/>
    <col min="8716" max="8716" width="10.7109375" style="411" customWidth="1"/>
    <col min="8717" max="8717" width="13" style="411" customWidth="1"/>
    <col min="8718" max="8960" width="9.28515625" style="411"/>
    <col min="8961" max="8961" width="6.42578125" style="411" customWidth="1"/>
    <col min="8962" max="8962" width="52.28515625" style="411" customWidth="1"/>
    <col min="8963" max="8963" width="23.7109375" style="411" customWidth="1"/>
    <col min="8964" max="8964" width="24.5703125" style="411" customWidth="1"/>
    <col min="8965" max="8965" width="18.28515625" style="411" customWidth="1"/>
    <col min="8966" max="8966" width="18" style="411" customWidth="1"/>
    <col min="8967" max="8967" width="15" style="411" bestFit="1" customWidth="1"/>
    <col min="8968" max="8968" width="16.7109375" style="411" customWidth="1"/>
    <col min="8969" max="8969" width="12.28515625" style="411" customWidth="1"/>
    <col min="8970" max="8970" width="11.28515625" style="411" customWidth="1"/>
    <col min="8971" max="8971" width="8.7109375" style="411" customWidth="1"/>
    <col min="8972" max="8972" width="10.7109375" style="411" customWidth="1"/>
    <col min="8973" max="8973" width="13" style="411" customWidth="1"/>
    <col min="8974" max="9216" width="9.28515625" style="411"/>
    <col min="9217" max="9217" width="6.42578125" style="411" customWidth="1"/>
    <col min="9218" max="9218" width="52.28515625" style="411" customWidth="1"/>
    <col min="9219" max="9219" width="23.7109375" style="411" customWidth="1"/>
    <col min="9220" max="9220" width="24.5703125" style="411" customWidth="1"/>
    <col min="9221" max="9221" width="18.28515625" style="411" customWidth="1"/>
    <col min="9222" max="9222" width="18" style="411" customWidth="1"/>
    <col min="9223" max="9223" width="15" style="411" bestFit="1" customWidth="1"/>
    <col min="9224" max="9224" width="16.7109375" style="411" customWidth="1"/>
    <col min="9225" max="9225" width="12.28515625" style="411" customWidth="1"/>
    <col min="9226" max="9226" width="11.28515625" style="411" customWidth="1"/>
    <col min="9227" max="9227" width="8.7109375" style="411" customWidth="1"/>
    <col min="9228" max="9228" width="10.7109375" style="411" customWidth="1"/>
    <col min="9229" max="9229" width="13" style="411" customWidth="1"/>
    <col min="9230" max="9472" width="9.28515625" style="411"/>
    <col min="9473" max="9473" width="6.42578125" style="411" customWidth="1"/>
    <col min="9474" max="9474" width="52.28515625" style="411" customWidth="1"/>
    <col min="9475" max="9475" width="23.7109375" style="411" customWidth="1"/>
    <col min="9476" max="9476" width="24.5703125" style="411" customWidth="1"/>
    <col min="9477" max="9477" width="18.28515625" style="411" customWidth="1"/>
    <col min="9478" max="9478" width="18" style="411" customWidth="1"/>
    <col min="9479" max="9479" width="15" style="411" bestFit="1" customWidth="1"/>
    <col min="9480" max="9480" width="16.7109375" style="411" customWidth="1"/>
    <col min="9481" max="9481" width="12.28515625" style="411" customWidth="1"/>
    <col min="9482" max="9482" width="11.28515625" style="411" customWidth="1"/>
    <col min="9483" max="9483" width="8.7109375" style="411" customWidth="1"/>
    <col min="9484" max="9484" width="10.7109375" style="411" customWidth="1"/>
    <col min="9485" max="9485" width="13" style="411" customWidth="1"/>
    <col min="9486" max="9728" width="9.28515625" style="411"/>
    <col min="9729" max="9729" width="6.42578125" style="411" customWidth="1"/>
    <col min="9730" max="9730" width="52.28515625" style="411" customWidth="1"/>
    <col min="9731" max="9731" width="23.7109375" style="411" customWidth="1"/>
    <col min="9732" max="9732" width="24.5703125" style="411" customWidth="1"/>
    <col min="9733" max="9733" width="18.28515625" style="411" customWidth="1"/>
    <col min="9734" max="9734" width="18" style="411" customWidth="1"/>
    <col min="9735" max="9735" width="15" style="411" bestFit="1" customWidth="1"/>
    <col min="9736" max="9736" width="16.7109375" style="411" customWidth="1"/>
    <col min="9737" max="9737" width="12.28515625" style="411" customWidth="1"/>
    <col min="9738" max="9738" width="11.28515625" style="411" customWidth="1"/>
    <col min="9739" max="9739" width="8.7109375" style="411" customWidth="1"/>
    <col min="9740" max="9740" width="10.7109375" style="411" customWidth="1"/>
    <col min="9741" max="9741" width="13" style="411" customWidth="1"/>
    <col min="9742" max="9984" width="9.28515625" style="411"/>
    <col min="9985" max="9985" width="6.42578125" style="411" customWidth="1"/>
    <col min="9986" max="9986" width="52.28515625" style="411" customWidth="1"/>
    <col min="9987" max="9987" width="23.7109375" style="411" customWidth="1"/>
    <col min="9988" max="9988" width="24.5703125" style="411" customWidth="1"/>
    <col min="9989" max="9989" width="18.28515625" style="411" customWidth="1"/>
    <col min="9990" max="9990" width="18" style="411" customWidth="1"/>
    <col min="9991" max="9991" width="15" style="411" bestFit="1" customWidth="1"/>
    <col min="9992" max="9992" width="16.7109375" style="411" customWidth="1"/>
    <col min="9993" max="9993" width="12.28515625" style="411" customWidth="1"/>
    <col min="9994" max="9994" width="11.28515625" style="411" customWidth="1"/>
    <col min="9995" max="9995" width="8.7109375" style="411" customWidth="1"/>
    <col min="9996" max="9996" width="10.7109375" style="411" customWidth="1"/>
    <col min="9997" max="9997" width="13" style="411" customWidth="1"/>
    <col min="9998" max="10240" width="9.28515625" style="411"/>
    <col min="10241" max="10241" width="6.42578125" style="411" customWidth="1"/>
    <col min="10242" max="10242" width="52.28515625" style="411" customWidth="1"/>
    <col min="10243" max="10243" width="23.7109375" style="411" customWidth="1"/>
    <col min="10244" max="10244" width="24.5703125" style="411" customWidth="1"/>
    <col min="10245" max="10245" width="18.28515625" style="411" customWidth="1"/>
    <col min="10246" max="10246" width="18" style="411" customWidth="1"/>
    <col min="10247" max="10247" width="15" style="411" bestFit="1" customWidth="1"/>
    <col min="10248" max="10248" width="16.7109375" style="411" customWidth="1"/>
    <col min="10249" max="10249" width="12.28515625" style="411" customWidth="1"/>
    <col min="10250" max="10250" width="11.28515625" style="411" customWidth="1"/>
    <col min="10251" max="10251" width="8.7109375" style="411" customWidth="1"/>
    <col min="10252" max="10252" width="10.7109375" style="411" customWidth="1"/>
    <col min="10253" max="10253" width="13" style="411" customWidth="1"/>
    <col min="10254" max="10496" width="9.28515625" style="411"/>
    <col min="10497" max="10497" width="6.42578125" style="411" customWidth="1"/>
    <col min="10498" max="10498" width="52.28515625" style="411" customWidth="1"/>
    <col min="10499" max="10499" width="23.7109375" style="411" customWidth="1"/>
    <col min="10500" max="10500" width="24.5703125" style="411" customWidth="1"/>
    <col min="10501" max="10501" width="18.28515625" style="411" customWidth="1"/>
    <col min="10502" max="10502" width="18" style="411" customWidth="1"/>
    <col min="10503" max="10503" width="15" style="411" bestFit="1" customWidth="1"/>
    <col min="10504" max="10504" width="16.7109375" style="411" customWidth="1"/>
    <col min="10505" max="10505" width="12.28515625" style="411" customWidth="1"/>
    <col min="10506" max="10506" width="11.28515625" style="411" customWidth="1"/>
    <col min="10507" max="10507" width="8.7109375" style="411" customWidth="1"/>
    <col min="10508" max="10508" width="10.7109375" style="411" customWidth="1"/>
    <col min="10509" max="10509" width="13" style="411" customWidth="1"/>
    <col min="10510" max="10752" width="9.28515625" style="411"/>
    <col min="10753" max="10753" width="6.42578125" style="411" customWidth="1"/>
    <col min="10754" max="10754" width="52.28515625" style="411" customWidth="1"/>
    <col min="10755" max="10755" width="23.7109375" style="411" customWidth="1"/>
    <col min="10756" max="10756" width="24.5703125" style="411" customWidth="1"/>
    <col min="10757" max="10757" width="18.28515625" style="411" customWidth="1"/>
    <col min="10758" max="10758" width="18" style="411" customWidth="1"/>
    <col min="10759" max="10759" width="15" style="411" bestFit="1" customWidth="1"/>
    <col min="10760" max="10760" width="16.7109375" style="411" customWidth="1"/>
    <col min="10761" max="10761" width="12.28515625" style="411" customWidth="1"/>
    <col min="10762" max="10762" width="11.28515625" style="411" customWidth="1"/>
    <col min="10763" max="10763" width="8.7109375" style="411" customWidth="1"/>
    <col min="10764" max="10764" width="10.7109375" style="411" customWidth="1"/>
    <col min="10765" max="10765" width="13" style="411" customWidth="1"/>
    <col min="10766" max="11008" width="9.28515625" style="411"/>
    <col min="11009" max="11009" width="6.42578125" style="411" customWidth="1"/>
    <col min="11010" max="11010" width="52.28515625" style="411" customWidth="1"/>
    <col min="11011" max="11011" width="23.7109375" style="411" customWidth="1"/>
    <col min="11012" max="11012" width="24.5703125" style="411" customWidth="1"/>
    <col min="11013" max="11013" width="18.28515625" style="411" customWidth="1"/>
    <col min="11014" max="11014" width="18" style="411" customWidth="1"/>
    <col min="11015" max="11015" width="15" style="411" bestFit="1" customWidth="1"/>
    <col min="11016" max="11016" width="16.7109375" style="411" customWidth="1"/>
    <col min="11017" max="11017" width="12.28515625" style="411" customWidth="1"/>
    <col min="11018" max="11018" width="11.28515625" style="411" customWidth="1"/>
    <col min="11019" max="11019" width="8.7109375" style="411" customWidth="1"/>
    <col min="11020" max="11020" width="10.7109375" style="411" customWidth="1"/>
    <col min="11021" max="11021" width="13" style="411" customWidth="1"/>
    <col min="11022" max="11264" width="9.28515625" style="411"/>
    <col min="11265" max="11265" width="6.42578125" style="411" customWidth="1"/>
    <col min="11266" max="11266" width="52.28515625" style="411" customWidth="1"/>
    <col min="11267" max="11267" width="23.7109375" style="411" customWidth="1"/>
    <col min="11268" max="11268" width="24.5703125" style="411" customWidth="1"/>
    <col min="11269" max="11269" width="18.28515625" style="411" customWidth="1"/>
    <col min="11270" max="11270" width="18" style="411" customWidth="1"/>
    <col min="11271" max="11271" width="15" style="411" bestFit="1" customWidth="1"/>
    <col min="11272" max="11272" width="16.7109375" style="411" customWidth="1"/>
    <col min="11273" max="11273" width="12.28515625" style="411" customWidth="1"/>
    <col min="11274" max="11274" width="11.28515625" style="411" customWidth="1"/>
    <col min="11275" max="11275" width="8.7109375" style="411" customWidth="1"/>
    <col min="11276" max="11276" width="10.7109375" style="411" customWidth="1"/>
    <col min="11277" max="11277" width="13" style="411" customWidth="1"/>
    <col min="11278" max="11520" width="9.28515625" style="411"/>
    <col min="11521" max="11521" width="6.42578125" style="411" customWidth="1"/>
    <col min="11522" max="11522" width="52.28515625" style="411" customWidth="1"/>
    <col min="11523" max="11523" width="23.7109375" style="411" customWidth="1"/>
    <col min="11524" max="11524" width="24.5703125" style="411" customWidth="1"/>
    <col min="11525" max="11525" width="18.28515625" style="411" customWidth="1"/>
    <col min="11526" max="11526" width="18" style="411" customWidth="1"/>
    <col min="11527" max="11527" width="15" style="411" bestFit="1" customWidth="1"/>
    <col min="11528" max="11528" width="16.7109375" style="411" customWidth="1"/>
    <col min="11529" max="11529" width="12.28515625" style="411" customWidth="1"/>
    <col min="11530" max="11530" width="11.28515625" style="411" customWidth="1"/>
    <col min="11531" max="11531" width="8.7109375" style="411" customWidth="1"/>
    <col min="11532" max="11532" width="10.7109375" style="411" customWidth="1"/>
    <col min="11533" max="11533" width="13" style="411" customWidth="1"/>
    <col min="11534" max="11776" width="9.28515625" style="411"/>
    <col min="11777" max="11777" width="6.42578125" style="411" customWidth="1"/>
    <col min="11778" max="11778" width="52.28515625" style="411" customWidth="1"/>
    <col min="11779" max="11779" width="23.7109375" style="411" customWidth="1"/>
    <col min="11780" max="11780" width="24.5703125" style="411" customWidth="1"/>
    <col min="11781" max="11781" width="18.28515625" style="411" customWidth="1"/>
    <col min="11782" max="11782" width="18" style="411" customWidth="1"/>
    <col min="11783" max="11783" width="15" style="411" bestFit="1" customWidth="1"/>
    <col min="11784" max="11784" width="16.7109375" style="411" customWidth="1"/>
    <col min="11785" max="11785" width="12.28515625" style="411" customWidth="1"/>
    <col min="11786" max="11786" width="11.28515625" style="411" customWidth="1"/>
    <col min="11787" max="11787" width="8.7109375" style="411" customWidth="1"/>
    <col min="11788" max="11788" width="10.7109375" style="411" customWidth="1"/>
    <col min="11789" max="11789" width="13" style="411" customWidth="1"/>
    <col min="11790" max="12032" width="9.28515625" style="411"/>
    <col min="12033" max="12033" width="6.42578125" style="411" customWidth="1"/>
    <col min="12034" max="12034" width="52.28515625" style="411" customWidth="1"/>
    <col min="12035" max="12035" width="23.7109375" style="411" customWidth="1"/>
    <col min="12036" max="12036" width="24.5703125" style="411" customWidth="1"/>
    <col min="12037" max="12037" width="18.28515625" style="411" customWidth="1"/>
    <col min="12038" max="12038" width="18" style="411" customWidth="1"/>
    <col min="12039" max="12039" width="15" style="411" bestFit="1" customWidth="1"/>
    <col min="12040" max="12040" width="16.7109375" style="411" customWidth="1"/>
    <col min="12041" max="12041" width="12.28515625" style="411" customWidth="1"/>
    <col min="12042" max="12042" width="11.28515625" style="411" customWidth="1"/>
    <col min="12043" max="12043" width="8.7109375" style="411" customWidth="1"/>
    <col min="12044" max="12044" width="10.7109375" style="411" customWidth="1"/>
    <col min="12045" max="12045" width="13" style="411" customWidth="1"/>
    <col min="12046" max="12288" width="9.28515625" style="411"/>
    <col min="12289" max="12289" width="6.42578125" style="411" customWidth="1"/>
    <col min="12290" max="12290" width="52.28515625" style="411" customWidth="1"/>
    <col min="12291" max="12291" width="23.7109375" style="411" customWidth="1"/>
    <col min="12292" max="12292" width="24.5703125" style="411" customWidth="1"/>
    <col min="12293" max="12293" width="18.28515625" style="411" customWidth="1"/>
    <col min="12294" max="12294" width="18" style="411" customWidth="1"/>
    <col min="12295" max="12295" width="15" style="411" bestFit="1" customWidth="1"/>
    <col min="12296" max="12296" width="16.7109375" style="411" customWidth="1"/>
    <col min="12297" max="12297" width="12.28515625" style="411" customWidth="1"/>
    <col min="12298" max="12298" width="11.28515625" style="411" customWidth="1"/>
    <col min="12299" max="12299" width="8.7109375" style="411" customWidth="1"/>
    <col min="12300" max="12300" width="10.7109375" style="411" customWidth="1"/>
    <col min="12301" max="12301" width="13" style="411" customWidth="1"/>
    <col min="12302" max="12544" width="9.28515625" style="411"/>
    <col min="12545" max="12545" width="6.42578125" style="411" customWidth="1"/>
    <col min="12546" max="12546" width="52.28515625" style="411" customWidth="1"/>
    <col min="12547" max="12547" width="23.7109375" style="411" customWidth="1"/>
    <col min="12548" max="12548" width="24.5703125" style="411" customWidth="1"/>
    <col min="12549" max="12549" width="18.28515625" style="411" customWidth="1"/>
    <col min="12550" max="12550" width="18" style="411" customWidth="1"/>
    <col min="12551" max="12551" width="15" style="411" bestFit="1" customWidth="1"/>
    <col min="12552" max="12552" width="16.7109375" style="411" customWidth="1"/>
    <col min="12553" max="12553" width="12.28515625" style="411" customWidth="1"/>
    <col min="12554" max="12554" width="11.28515625" style="411" customWidth="1"/>
    <col min="12555" max="12555" width="8.7109375" style="411" customWidth="1"/>
    <col min="12556" max="12556" width="10.7109375" style="411" customWidth="1"/>
    <col min="12557" max="12557" width="13" style="411" customWidth="1"/>
    <col min="12558" max="12800" width="9.28515625" style="411"/>
    <col min="12801" max="12801" width="6.42578125" style="411" customWidth="1"/>
    <col min="12802" max="12802" width="52.28515625" style="411" customWidth="1"/>
    <col min="12803" max="12803" width="23.7109375" style="411" customWidth="1"/>
    <col min="12804" max="12804" width="24.5703125" style="411" customWidth="1"/>
    <col min="12805" max="12805" width="18.28515625" style="411" customWidth="1"/>
    <col min="12806" max="12806" width="18" style="411" customWidth="1"/>
    <col min="12807" max="12807" width="15" style="411" bestFit="1" customWidth="1"/>
    <col min="12808" max="12808" width="16.7109375" style="411" customWidth="1"/>
    <col min="12809" max="12809" width="12.28515625" style="411" customWidth="1"/>
    <col min="12810" max="12810" width="11.28515625" style="411" customWidth="1"/>
    <col min="12811" max="12811" width="8.7109375" style="411" customWidth="1"/>
    <col min="12812" max="12812" width="10.7109375" style="411" customWidth="1"/>
    <col min="12813" max="12813" width="13" style="411" customWidth="1"/>
    <col min="12814" max="13056" width="9.28515625" style="411"/>
    <col min="13057" max="13057" width="6.42578125" style="411" customWidth="1"/>
    <col min="13058" max="13058" width="52.28515625" style="411" customWidth="1"/>
    <col min="13059" max="13059" width="23.7109375" style="411" customWidth="1"/>
    <col min="13060" max="13060" width="24.5703125" style="411" customWidth="1"/>
    <col min="13061" max="13061" width="18.28515625" style="411" customWidth="1"/>
    <col min="13062" max="13062" width="18" style="411" customWidth="1"/>
    <col min="13063" max="13063" width="15" style="411" bestFit="1" customWidth="1"/>
    <col min="13064" max="13064" width="16.7109375" style="411" customWidth="1"/>
    <col min="13065" max="13065" width="12.28515625" style="411" customWidth="1"/>
    <col min="13066" max="13066" width="11.28515625" style="411" customWidth="1"/>
    <col min="13067" max="13067" width="8.7109375" style="411" customWidth="1"/>
    <col min="13068" max="13068" width="10.7109375" style="411" customWidth="1"/>
    <col min="13069" max="13069" width="13" style="411" customWidth="1"/>
    <col min="13070" max="13312" width="9.28515625" style="411"/>
    <col min="13313" max="13313" width="6.42578125" style="411" customWidth="1"/>
    <col min="13314" max="13314" width="52.28515625" style="411" customWidth="1"/>
    <col min="13315" max="13315" width="23.7109375" style="411" customWidth="1"/>
    <col min="13316" max="13316" width="24.5703125" style="411" customWidth="1"/>
    <col min="13317" max="13317" width="18.28515625" style="411" customWidth="1"/>
    <col min="13318" max="13318" width="18" style="411" customWidth="1"/>
    <col min="13319" max="13319" width="15" style="411" bestFit="1" customWidth="1"/>
    <col min="13320" max="13320" width="16.7109375" style="411" customWidth="1"/>
    <col min="13321" max="13321" width="12.28515625" style="411" customWidth="1"/>
    <col min="13322" max="13322" width="11.28515625" style="411" customWidth="1"/>
    <col min="13323" max="13323" width="8.7109375" style="411" customWidth="1"/>
    <col min="13324" max="13324" width="10.7109375" style="411" customWidth="1"/>
    <col min="13325" max="13325" width="13" style="411" customWidth="1"/>
    <col min="13326" max="13568" width="9.28515625" style="411"/>
    <col min="13569" max="13569" width="6.42578125" style="411" customWidth="1"/>
    <col min="13570" max="13570" width="52.28515625" style="411" customWidth="1"/>
    <col min="13571" max="13571" width="23.7109375" style="411" customWidth="1"/>
    <col min="13572" max="13572" width="24.5703125" style="411" customWidth="1"/>
    <col min="13573" max="13573" width="18.28515625" style="411" customWidth="1"/>
    <col min="13574" max="13574" width="18" style="411" customWidth="1"/>
    <col min="13575" max="13575" width="15" style="411" bestFit="1" customWidth="1"/>
    <col min="13576" max="13576" width="16.7109375" style="411" customWidth="1"/>
    <col min="13577" max="13577" width="12.28515625" style="411" customWidth="1"/>
    <col min="13578" max="13578" width="11.28515625" style="411" customWidth="1"/>
    <col min="13579" max="13579" width="8.7109375" style="411" customWidth="1"/>
    <col min="13580" max="13580" width="10.7109375" style="411" customWidth="1"/>
    <col min="13581" max="13581" width="13" style="411" customWidth="1"/>
    <col min="13582" max="13824" width="9.28515625" style="411"/>
    <col min="13825" max="13825" width="6.42578125" style="411" customWidth="1"/>
    <col min="13826" max="13826" width="52.28515625" style="411" customWidth="1"/>
    <col min="13827" max="13827" width="23.7109375" style="411" customWidth="1"/>
    <col min="13828" max="13828" width="24.5703125" style="411" customWidth="1"/>
    <col min="13829" max="13829" width="18.28515625" style="411" customWidth="1"/>
    <col min="13830" max="13830" width="18" style="411" customWidth="1"/>
    <col min="13831" max="13831" width="15" style="411" bestFit="1" customWidth="1"/>
    <col min="13832" max="13832" width="16.7109375" style="411" customWidth="1"/>
    <col min="13833" max="13833" width="12.28515625" style="411" customWidth="1"/>
    <col min="13834" max="13834" width="11.28515625" style="411" customWidth="1"/>
    <col min="13835" max="13835" width="8.7109375" style="411" customWidth="1"/>
    <col min="13836" max="13836" width="10.7109375" style="411" customWidth="1"/>
    <col min="13837" max="13837" width="13" style="411" customWidth="1"/>
    <col min="13838" max="14080" width="9.28515625" style="411"/>
    <col min="14081" max="14081" width="6.42578125" style="411" customWidth="1"/>
    <col min="14082" max="14082" width="52.28515625" style="411" customWidth="1"/>
    <col min="14083" max="14083" width="23.7109375" style="411" customWidth="1"/>
    <col min="14084" max="14084" width="24.5703125" style="411" customWidth="1"/>
    <col min="14085" max="14085" width="18.28515625" style="411" customWidth="1"/>
    <col min="14086" max="14086" width="18" style="411" customWidth="1"/>
    <col min="14087" max="14087" width="15" style="411" bestFit="1" customWidth="1"/>
    <col min="14088" max="14088" width="16.7109375" style="411" customWidth="1"/>
    <col min="14089" max="14089" width="12.28515625" style="411" customWidth="1"/>
    <col min="14090" max="14090" width="11.28515625" style="411" customWidth="1"/>
    <col min="14091" max="14091" width="8.7109375" style="411" customWidth="1"/>
    <col min="14092" max="14092" width="10.7109375" style="411" customWidth="1"/>
    <col min="14093" max="14093" width="13" style="411" customWidth="1"/>
    <col min="14094" max="14336" width="9.28515625" style="411"/>
    <col min="14337" max="14337" width="6.42578125" style="411" customWidth="1"/>
    <col min="14338" max="14338" width="52.28515625" style="411" customWidth="1"/>
    <col min="14339" max="14339" width="23.7109375" style="411" customWidth="1"/>
    <col min="14340" max="14340" width="24.5703125" style="411" customWidth="1"/>
    <col min="14341" max="14341" width="18.28515625" style="411" customWidth="1"/>
    <col min="14342" max="14342" width="18" style="411" customWidth="1"/>
    <col min="14343" max="14343" width="15" style="411" bestFit="1" customWidth="1"/>
    <col min="14344" max="14344" width="16.7109375" style="411" customWidth="1"/>
    <col min="14345" max="14345" width="12.28515625" style="411" customWidth="1"/>
    <col min="14346" max="14346" width="11.28515625" style="411" customWidth="1"/>
    <col min="14347" max="14347" width="8.7109375" style="411" customWidth="1"/>
    <col min="14348" max="14348" width="10.7109375" style="411" customWidth="1"/>
    <col min="14349" max="14349" width="13" style="411" customWidth="1"/>
    <col min="14350" max="14592" width="9.28515625" style="411"/>
    <col min="14593" max="14593" width="6.42578125" style="411" customWidth="1"/>
    <col min="14594" max="14594" width="52.28515625" style="411" customWidth="1"/>
    <col min="14595" max="14595" width="23.7109375" style="411" customWidth="1"/>
    <col min="14596" max="14596" width="24.5703125" style="411" customWidth="1"/>
    <col min="14597" max="14597" width="18.28515625" style="411" customWidth="1"/>
    <col min="14598" max="14598" width="18" style="411" customWidth="1"/>
    <col min="14599" max="14599" width="15" style="411" bestFit="1" customWidth="1"/>
    <col min="14600" max="14600" width="16.7109375" style="411" customWidth="1"/>
    <col min="14601" max="14601" width="12.28515625" style="411" customWidth="1"/>
    <col min="14602" max="14602" width="11.28515625" style="411" customWidth="1"/>
    <col min="14603" max="14603" width="8.7109375" style="411" customWidth="1"/>
    <col min="14604" max="14604" width="10.7109375" style="411" customWidth="1"/>
    <col min="14605" max="14605" width="13" style="411" customWidth="1"/>
    <col min="14606" max="14848" width="9.28515625" style="411"/>
    <col min="14849" max="14849" width="6.42578125" style="411" customWidth="1"/>
    <col min="14850" max="14850" width="52.28515625" style="411" customWidth="1"/>
    <col min="14851" max="14851" width="23.7109375" style="411" customWidth="1"/>
    <col min="14852" max="14852" width="24.5703125" style="411" customWidth="1"/>
    <col min="14853" max="14853" width="18.28515625" style="411" customWidth="1"/>
    <col min="14854" max="14854" width="18" style="411" customWidth="1"/>
    <col min="14855" max="14855" width="15" style="411" bestFit="1" customWidth="1"/>
    <col min="14856" max="14856" width="16.7109375" style="411" customWidth="1"/>
    <col min="14857" max="14857" width="12.28515625" style="411" customWidth="1"/>
    <col min="14858" max="14858" width="11.28515625" style="411" customWidth="1"/>
    <col min="14859" max="14859" width="8.7109375" style="411" customWidth="1"/>
    <col min="14860" max="14860" width="10.7109375" style="411" customWidth="1"/>
    <col min="14861" max="14861" width="13" style="411" customWidth="1"/>
    <col min="14862" max="15104" width="9.28515625" style="411"/>
    <col min="15105" max="15105" width="6.42578125" style="411" customWidth="1"/>
    <col min="15106" max="15106" width="52.28515625" style="411" customWidth="1"/>
    <col min="15107" max="15107" width="23.7109375" style="411" customWidth="1"/>
    <col min="15108" max="15108" width="24.5703125" style="411" customWidth="1"/>
    <col min="15109" max="15109" width="18.28515625" style="411" customWidth="1"/>
    <col min="15110" max="15110" width="18" style="411" customWidth="1"/>
    <col min="15111" max="15111" width="15" style="411" bestFit="1" customWidth="1"/>
    <col min="15112" max="15112" width="16.7109375" style="411" customWidth="1"/>
    <col min="15113" max="15113" width="12.28515625" style="411" customWidth="1"/>
    <col min="15114" max="15114" width="11.28515625" style="411" customWidth="1"/>
    <col min="15115" max="15115" width="8.7109375" style="411" customWidth="1"/>
    <col min="15116" max="15116" width="10.7109375" style="411" customWidth="1"/>
    <col min="15117" max="15117" width="13" style="411" customWidth="1"/>
    <col min="15118" max="15360" width="9.28515625" style="411"/>
    <col min="15361" max="15361" width="6.42578125" style="411" customWidth="1"/>
    <col min="15362" max="15362" width="52.28515625" style="411" customWidth="1"/>
    <col min="15363" max="15363" width="23.7109375" style="411" customWidth="1"/>
    <col min="15364" max="15364" width="24.5703125" style="411" customWidth="1"/>
    <col min="15365" max="15365" width="18.28515625" style="411" customWidth="1"/>
    <col min="15366" max="15366" width="18" style="411" customWidth="1"/>
    <col min="15367" max="15367" width="15" style="411" bestFit="1" customWidth="1"/>
    <col min="15368" max="15368" width="16.7109375" style="411" customWidth="1"/>
    <col min="15369" max="15369" width="12.28515625" style="411" customWidth="1"/>
    <col min="15370" max="15370" width="11.28515625" style="411" customWidth="1"/>
    <col min="15371" max="15371" width="8.7109375" style="411" customWidth="1"/>
    <col min="15372" max="15372" width="10.7109375" style="411" customWidth="1"/>
    <col min="15373" max="15373" width="13" style="411" customWidth="1"/>
    <col min="15374" max="15616" width="9.28515625" style="411"/>
    <col min="15617" max="15617" width="6.42578125" style="411" customWidth="1"/>
    <col min="15618" max="15618" width="52.28515625" style="411" customWidth="1"/>
    <col min="15619" max="15619" width="23.7109375" style="411" customWidth="1"/>
    <col min="15620" max="15620" width="24.5703125" style="411" customWidth="1"/>
    <col min="15621" max="15621" width="18.28515625" style="411" customWidth="1"/>
    <col min="15622" max="15622" width="18" style="411" customWidth="1"/>
    <col min="15623" max="15623" width="15" style="411" bestFit="1" customWidth="1"/>
    <col min="15624" max="15624" width="16.7109375" style="411" customWidth="1"/>
    <col min="15625" max="15625" width="12.28515625" style="411" customWidth="1"/>
    <col min="15626" max="15626" width="11.28515625" style="411" customWidth="1"/>
    <col min="15627" max="15627" width="8.7109375" style="411" customWidth="1"/>
    <col min="15628" max="15628" width="10.7109375" style="411" customWidth="1"/>
    <col min="15629" max="15629" width="13" style="411" customWidth="1"/>
    <col min="15630" max="15872" width="9.28515625" style="411"/>
    <col min="15873" max="15873" width="6.42578125" style="411" customWidth="1"/>
    <col min="15874" max="15874" width="52.28515625" style="411" customWidth="1"/>
    <col min="15875" max="15875" width="23.7109375" style="411" customWidth="1"/>
    <col min="15876" max="15876" width="24.5703125" style="411" customWidth="1"/>
    <col min="15877" max="15877" width="18.28515625" style="411" customWidth="1"/>
    <col min="15878" max="15878" width="18" style="411" customWidth="1"/>
    <col min="15879" max="15879" width="15" style="411" bestFit="1" customWidth="1"/>
    <col min="15880" max="15880" width="16.7109375" style="411" customWidth="1"/>
    <col min="15881" max="15881" width="12.28515625" style="411" customWidth="1"/>
    <col min="15882" max="15882" width="11.28515625" style="411" customWidth="1"/>
    <col min="15883" max="15883" width="8.7109375" style="411" customWidth="1"/>
    <col min="15884" max="15884" width="10.7109375" style="411" customWidth="1"/>
    <col min="15885" max="15885" width="13" style="411" customWidth="1"/>
    <col min="15886" max="16128" width="9.28515625" style="411"/>
    <col min="16129" max="16129" width="6.42578125" style="411" customWidth="1"/>
    <col min="16130" max="16130" width="52.28515625" style="411" customWidth="1"/>
    <col min="16131" max="16131" width="23.7109375" style="411" customWidth="1"/>
    <col min="16132" max="16132" width="24.5703125" style="411" customWidth="1"/>
    <col min="16133" max="16133" width="18.28515625" style="411" customWidth="1"/>
    <col min="16134" max="16134" width="18" style="411" customWidth="1"/>
    <col min="16135" max="16135" width="15" style="411" bestFit="1" customWidth="1"/>
    <col min="16136" max="16136" width="16.7109375" style="411" customWidth="1"/>
    <col min="16137" max="16137" width="12.28515625" style="411" customWidth="1"/>
    <col min="16138" max="16138" width="11.28515625" style="411" customWidth="1"/>
    <col min="16139" max="16139" width="8.7109375" style="411" customWidth="1"/>
    <col min="16140" max="16140" width="10.7109375" style="411" customWidth="1"/>
    <col min="16141" max="16141" width="13" style="411" customWidth="1"/>
    <col min="16142" max="16384" width="9.28515625" style="411"/>
  </cols>
  <sheetData>
    <row r="1" spans="1:17">
      <c r="E1" s="1848" t="s">
        <v>962</v>
      </c>
      <c r="F1" s="1848"/>
    </row>
    <row r="2" spans="1:17" ht="41.25" customHeight="1">
      <c r="A2" s="1858" t="s">
        <v>961</v>
      </c>
      <c r="B2" s="1858"/>
      <c r="C2" s="1858"/>
      <c r="D2" s="1858"/>
      <c r="E2" s="1858"/>
      <c r="F2" s="1858"/>
    </row>
    <row r="3" spans="1:17" ht="28.5" customHeight="1">
      <c r="E3" s="1849" t="s">
        <v>216</v>
      </c>
      <c r="F3" s="1849"/>
    </row>
    <row r="4" spans="1:17" s="420" customFormat="1" ht="42.75" customHeight="1">
      <c r="A4" s="417" t="s">
        <v>313</v>
      </c>
      <c r="B4" s="417" t="s">
        <v>314</v>
      </c>
      <c r="C4" s="417" t="s">
        <v>768</v>
      </c>
      <c r="D4" s="417" t="s">
        <v>769</v>
      </c>
      <c r="E4" s="418" t="s">
        <v>770</v>
      </c>
      <c r="F4" s="418" t="s">
        <v>771</v>
      </c>
    </row>
    <row r="5" spans="1:17" s="420" customFormat="1" ht="24" customHeight="1">
      <c r="A5" s="810" t="s">
        <v>316</v>
      </c>
      <c r="B5" s="810" t="s">
        <v>317</v>
      </c>
      <c r="C5" s="810" t="s">
        <v>246</v>
      </c>
      <c r="D5" s="810" t="s">
        <v>403</v>
      </c>
      <c r="E5" s="811">
        <v>1</v>
      </c>
      <c r="F5" s="810">
        <v>2</v>
      </c>
    </row>
    <row r="6" spans="1:17" s="420" customFormat="1" ht="42.75" customHeight="1">
      <c r="A6" s="742" t="s">
        <v>318</v>
      </c>
      <c r="B6" s="628" t="s">
        <v>935</v>
      </c>
      <c r="C6" s="743"/>
      <c r="D6" s="743"/>
      <c r="E6" s="746">
        <f>SUM(E7:E9)</f>
        <v>9201.81</v>
      </c>
      <c r="F6" s="744"/>
    </row>
    <row r="7" spans="1:17" s="442" customFormat="1" ht="24" customHeight="1">
      <c r="A7" s="740">
        <v>1</v>
      </c>
      <c r="B7" s="620" t="s">
        <v>928</v>
      </c>
      <c r="C7" s="406"/>
      <c r="D7" s="407"/>
      <c r="E7" s="745"/>
      <c r="F7" s="621"/>
      <c r="G7" s="622"/>
      <c r="H7" s="622"/>
      <c r="I7" s="474"/>
      <c r="J7" s="474"/>
      <c r="K7" s="474"/>
      <c r="L7" s="474"/>
      <c r="M7" s="474"/>
      <c r="N7" s="474"/>
      <c r="O7" s="474"/>
      <c r="P7" s="474"/>
      <c r="Q7" s="474"/>
    </row>
    <row r="8" spans="1:17" s="442" customFormat="1" ht="24" customHeight="1">
      <c r="A8" s="739">
        <v>2</v>
      </c>
      <c r="B8" s="624" t="s">
        <v>929</v>
      </c>
      <c r="C8" s="408"/>
      <c r="D8" s="625"/>
      <c r="E8" s="741">
        <v>6101.18</v>
      </c>
      <c r="F8" s="729"/>
      <c r="G8" s="622"/>
      <c r="H8" s="622"/>
      <c r="I8" s="474"/>
      <c r="J8" s="474"/>
      <c r="K8" s="474"/>
      <c r="L8" s="474"/>
      <c r="M8" s="474"/>
      <c r="N8" s="474"/>
      <c r="O8" s="474"/>
      <c r="P8" s="474"/>
      <c r="Q8" s="474"/>
    </row>
    <row r="9" spans="1:17" s="442" customFormat="1" ht="24" customHeight="1">
      <c r="A9" s="739">
        <v>3</v>
      </c>
      <c r="B9" s="624" t="s">
        <v>930</v>
      </c>
      <c r="C9" s="408"/>
      <c r="D9" s="409"/>
      <c r="E9" s="738">
        <f>SUM(E10:E11)</f>
        <v>3100.6299999999997</v>
      </c>
      <c r="F9" s="729"/>
      <c r="G9" s="622"/>
      <c r="H9" s="622"/>
      <c r="I9" s="474"/>
      <c r="J9" s="474"/>
      <c r="K9" s="474"/>
      <c r="L9" s="474"/>
      <c r="M9" s="474"/>
      <c r="N9" s="474"/>
      <c r="O9" s="474"/>
      <c r="P9" s="474"/>
      <c r="Q9" s="474"/>
    </row>
    <row r="10" spans="1:17" s="442" customFormat="1" ht="34.5" customHeight="1">
      <c r="A10" s="739" t="s">
        <v>62</v>
      </c>
      <c r="B10" s="624" t="s">
        <v>931</v>
      </c>
      <c r="C10" s="626" t="s">
        <v>932</v>
      </c>
      <c r="D10" s="627"/>
      <c r="E10" s="738">
        <v>619.553</v>
      </c>
      <c r="F10" s="729"/>
      <c r="G10" s="622"/>
      <c r="H10" s="622"/>
    </row>
    <row r="11" spans="1:17" s="442" customFormat="1" ht="33" customHeight="1">
      <c r="A11" s="739" t="s">
        <v>62</v>
      </c>
      <c r="B11" s="624" t="s">
        <v>933</v>
      </c>
      <c r="C11" s="626" t="s">
        <v>934</v>
      </c>
      <c r="D11" s="627"/>
      <c r="E11" s="738">
        <f>368.779+2112.298</f>
        <v>2481.0769999999998</v>
      </c>
      <c r="F11" s="729"/>
      <c r="G11" s="622"/>
      <c r="H11" s="622"/>
    </row>
    <row r="12" spans="1:17" s="442" customFormat="1" ht="24" customHeight="1">
      <c r="A12" s="623" t="s">
        <v>149</v>
      </c>
      <c r="B12" s="628" t="s">
        <v>811</v>
      </c>
      <c r="C12" s="469"/>
      <c r="D12" s="628"/>
      <c r="E12" s="730">
        <f>+E13+E14+E31+E50</f>
        <v>5885.3318129999998</v>
      </c>
      <c r="F12" s="730">
        <f>+F13+F14+F31+F50</f>
        <v>5840.8756999999996</v>
      </c>
      <c r="G12" s="622"/>
      <c r="H12" s="622"/>
      <c r="I12" s="474"/>
      <c r="J12" s="474"/>
      <c r="K12" s="474"/>
      <c r="L12" s="474"/>
      <c r="M12" s="474"/>
      <c r="N12" s="474"/>
      <c r="O12" s="474"/>
      <c r="P12" s="474"/>
      <c r="Q12" s="474"/>
    </row>
    <row r="13" spans="1:17" s="442" customFormat="1" ht="34.5" customHeight="1">
      <c r="A13" s="739">
        <v>1</v>
      </c>
      <c r="B13" s="629" t="s">
        <v>936</v>
      </c>
      <c r="C13" s="453" t="s">
        <v>937</v>
      </c>
      <c r="D13" s="629" t="s">
        <v>938</v>
      </c>
      <c r="E13" s="738">
        <v>124.32</v>
      </c>
      <c r="F13" s="738">
        <v>124.32</v>
      </c>
      <c r="G13" s="622"/>
      <c r="H13" s="622"/>
      <c r="I13" s="474"/>
      <c r="J13" s="474"/>
      <c r="K13" s="474"/>
      <c r="L13" s="474"/>
      <c r="M13" s="474"/>
      <c r="N13" s="474"/>
      <c r="O13" s="474"/>
      <c r="P13" s="474"/>
      <c r="Q13" s="474"/>
    </row>
    <row r="14" spans="1:17" s="442" customFormat="1" ht="54.75" customHeight="1">
      <c r="A14" s="739">
        <v>2</v>
      </c>
      <c r="B14" s="630" t="s">
        <v>939</v>
      </c>
      <c r="C14" s="453" t="s">
        <v>940</v>
      </c>
      <c r="D14" s="628"/>
      <c r="E14" s="738">
        <f>SUM(E15:E30)</f>
        <v>774.44099999999992</v>
      </c>
      <c r="F14" s="738">
        <f>SUM(F15:F30)</f>
        <v>774.44099999999992</v>
      </c>
      <c r="G14" s="622"/>
      <c r="H14" s="622"/>
      <c r="I14" s="474"/>
      <c r="J14" s="474"/>
      <c r="K14" s="474"/>
      <c r="L14" s="474"/>
      <c r="M14" s="474"/>
      <c r="N14" s="474"/>
      <c r="O14" s="474"/>
      <c r="P14" s="474"/>
      <c r="Q14" s="474"/>
    </row>
    <row r="15" spans="1:17" s="442" customFormat="1" ht="21" customHeight="1">
      <c r="A15" s="623"/>
      <c r="B15" s="629"/>
      <c r="C15" s="469"/>
      <c r="D15" s="631" t="s">
        <v>715</v>
      </c>
      <c r="E15" s="729">
        <v>6.4550000000000001</v>
      </c>
      <c r="F15" s="729">
        <f>+E15</f>
        <v>6.4550000000000001</v>
      </c>
      <c r="G15" s="622"/>
      <c r="H15" s="622"/>
      <c r="I15" s="474"/>
      <c r="J15" s="474"/>
      <c r="K15" s="474"/>
      <c r="L15" s="474"/>
      <c r="M15" s="474"/>
      <c r="N15" s="474"/>
      <c r="O15" s="474"/>
      <c r="P15" s="474"/>
      <c r="Q15" s="474"/>
    </row>
    <row r="16" spans="1:17" s="442" customFormat="1" ht="21" customHeight="1">
      <c r="A16" s="623"/>
      <c r="B16" s="629"/>
      <c r="C16" s="469"/>
      <c r="D16" s="631" t="s">
        <v>711</v>
      </c>
      <c r="E16" s="729">
        <v>13.05</v>
      </c>
      <c r="F16" s="729">
        <f t="shared" ref="F16:F30" si="0">+E16</f>
        <v>13.05</v>
      </c>
      <c r="G16" s="622"/>
      <c r="H16" s="622"/>
      <c r="I16" s="474"/>
      <c r="J16" s="474"/>
      <c r="K16" s="474"/>
      <c r="L16" s="474"/>
      <c r="M16" s="474"/>
      <c r="N16" s="474"/>
      <c r="O16" s="474"/>
      <c r="P16" s="474"/>
      <c r="Q16" s="474"/>
    </row>
    <row r="17" spans="1:17" s="442" customFormat="1" ht="21" customHeight="1">
      <c r="A17" s="623"/>
      <c r="B17" s="629"/>
      <c r="C17" s="469"/>
      <c r="D17" s="631" t="s">
        <v>721</v>
      </c>
      <c r="E17" s="729">
        <v>127.98999999999998</v>
      </c>
      <c r="F17" s="729">
        <f t="shared" si="0"/>
        <v>127.98999999999998</v>
      </c>
      <c r="G17" s="622"/>
      <c r="H17" s="622"/>
      <c r="I17" s="474"/>
      <c r="J17" s="474"/>
      <c r="K17" s="474"/>
      <c r="L17" s="474"/>
      <c r="M17" s="474"/>
      <c r="N17" s="474"/>
      <c r="O17" s="474"/>
      <c r="P17" s="474"/>
      <c r="Q17" s="474"/>
    </row>
    <row r="18" spans="1:17" s="442" customFormat="1" ht="21" customHeight="1">
      <c r="A18" s="623"/>
      <c r="B18" s="629"/>
      <c r="C18" s="469"/>
      <c r="D18" s="631" t="s">
        <v>712</v>
      </c>
      <c r="E18" s="729">
        <v>31.54</v>
      </c>
      <c r="F18" s="729">
        <f t="shared" si="0"/>
        <v>31.54</v>
      </c>
      <c r="G18" s="622"/>
      <c r="H18" s="622"/>
      <c r="I18" s="474"/>
      <c r="J18" s="474"/>
      <c r="K18" s="474"/>
      <c r="L18" s="474"/>
      <c r="M18" s="474"/>
      <c r="N18" s="474"/>
      <c r="O18" s="474"/>
      <c r="P18" s="474"/>
      <c r="Q18" s="474"/>
    </row>
    <row r="19" spans="1:17" s="442" customFormat="1" ht="21" customHeight="1">
      <c r="A19" s="623"/>
      <c r="B19" s="629"/>
      <c r="C19" s="469"/>
      <c r="D19" s="631" t="s">
        <v>722</v>
      </c>
      <c r="E19" s="729">
        <v>18.97</v>
      </c>
      <c r="F19" s="729">
        <f t="shared" si="0"/>
        <v>18.97</v>
      </c>
      <c r="G19" s="622"/>
      <c r="H19" s="622"/>
      <c r="I19" s="474"/>
      <c r="J19" s="474"/>
      <c r="K19" s="474"/>
      <c r="L19" s="474"/>
      <c r="M19" s="474"/>
      <c r="N19" s="474"/>
      <c r="O19" s="474"/>
      <c r="P19" s="474"/>
      <c r="Q19" s="474"/>
    </row>
    <row r="20" spans="1:17" s="442" customFormat="1" ht="21" customHeight="1">
      <c r="A20" s="623"/>
      <c r="B20" s="629"/>
      <c r="C20" s="469"/>
      <c r="D20" s="632" t="s">
        <v>714</v>
      </c>
      <c r="E20" s="729">
        <v>4.4450000000000003</v>
      </c>
      <c r="F20" s="729">
        <f t="shared" si="0"/>
        <v>4.4450000000000003</v>
      </c>
      <c r="G20" s="622"/>
      <c r="H20" s="622"/>
      <c r="I20" s="474"/>
      <c r="J20" s="474"/>
      <c r="K20" s="474"/>
      <c r="L20" s="474"/>
      <c r="M20" s="474"/>
      <c r="N20" s="474"/>
      <c r="O20" s="474"/>
      <c r="P20" s="474"/>
      <c r="Q20" s="474"/>
    </row>
    <row r="21" spans="1:17" s="442" customFormat="1" ht="21" customHeight="1">
      <c r="A21" s="623"/>
      <c r="B21" s="629"/>
      <c r="C21" s="469"/>
      <c r="D21" s="633" t="s">
        <v>673</v>
      </c>
      <c r="E21" s="729">
        <v>219.61999999999998</v>
      </c>
      <c r="F21" s="729">
        <f t="shared" si="0"/>
        <v>219.61999999999998</v>
      </c>
      <c r="G21" s="622"/>
      <c r="H21" s="622"/>
      <c r="I21" s="474"/>
      <c r="J21" s="474"/>
      <c r="K21" s="474"/>
      <c r="L21" s="474"/>
      <c r="M21" s="474"/>
      <c r="N21" s="474"/>
      <c r="O21" s="474"/>
      <c r="P21" s="474"/>
      <c r="Q21" s="474"/>
    </row>
    <row r="22" spans="1:17" s="442" customFormat="1" ht="21" customHeight="1">
      <c r="A22" s="623"/>
      <c r="B22" s="629"/>
      <c r="C22" s="469"/>
      <c r="D22" s="633" t="s">
        <v>716</v>
      </c>
      <c r="E22" s="729">
        <v>36.29</v>
      </c>
      <c r="F22" s="729">
        <f t="shared" si="0"/>
        <v>36.29</v>
      </c>
      <c r="G22" s="622"/>
      <c r="H22" s="622"/>
      <c r="I22" s="474"/>
      <c r="J22" s="474"/>
      <c r="K22" s="474"/>
      <c r="L22" s="474"/>
      <c r="M22" s="474"/>
      <c r="N22" s="474"/>
      <c r="O22" s="474"/>
      <c r="P22" s="474"/>
      <c r="Q22" s="474"/>
    </row>
    <row r="23" spans="1:17" s="442" customFormat="1" ht="21" customHeight="1">
      <c r="A23" s="623"/>
      <c r="B23" s="629"/>
      <c r="C23" s="469"/>
      <c r="D23" s="633" t="s">
        <v>941</v>
      </c>
      <c r="E23" s="729">
        <v>21.269999999999996</v>
      </c>
      <c r="F23" s="729">
        <f t="shared" si="0"/>
        <v>21.269999999999996</v>
      </c>
      <c r="G23" s="622"/>
      <c r="H23" s="622"/>
      <c r="I23" s="474"/>
      <c r="J23" s="474"/>
      <c r="K23" s="474"/>
      <c r="L23" s="474"/>
      <c r="M23" s="474"/>
      <c r="N23" s="474"/>
      <c r="O23" s="474"/>
      <c r="P23" s="474"/>
      <c r="Q23" s="474"/>
    </row>
    <row r="24" spans="1:17" s="442" customFormat="1" ht="21" customHeight="1">
      <c r="A24" s="623"/>
      <c r="B24" s="629"/>
      <c r="C24" s="469"/>
      <c r="D24" s="633" t="s">
        <v>723</v>
      </c>
      <c r="E24" s="729">
        <v>36.169999999999995</v>
      </c>
      <c r="F24" s="729">
        <f t="shared" si="0"/>
        <v>36.169999999999995</v>
      </c>
      <c r="G24" s="622"/>
      <c r="H24" s="622"/>
      <c r="I24" s="474"/>
      <c r="J24" s="474"/>
      <c r="K24" s="474"/>
      <c r="L24" s="474"/>
      <c r="M24" s="474"/>
      <c r="N24" s="474"/>
      <c r="O24" s="474"/>
      <c r="P24" s="474"/>
      <c r="Q24" s="474"/>
    </row>
    <row r="25" spans="1:17" s="442" customFormat="1" ht="21" customHeight="1">
      <c r="A25" s="623"/>
      <c r="B25" s="629"/>
      <c r="C25" s="469"/>
      <c r="D25" s="633" t="s">
        <v>720</v>
      </c>
      <c r="E25" s="729">
        <v>104.723</v>
      </c>
      <c r="F25" s="729">
        <f t="shared" si="0"/>
        <v>104.723</v>
      </c>
      <c r="G25" s="622"/>
      <c r="H25" s="622"/>
      <c r="I25" s="474"/>
      <c r="J25" s="474"/>
      <c r="K25" s="474"/>
      <c r="L25" s="474"/>
      <c r="M25" s="474"/>
      <c r="N25" s="474"/>
      <c r="O25" s="474"/>
      <c r="P25" s="474"/>
      <c r="Q25" s="474"/>
    </row>
    <row r="26" spans="1:17" s="442" customFormat="1" ht="21" customHeight="1">
      <c r="A26" s="623"/>
      <c r="B26" s="629"/>
      <c r="C26" s="469"/>
      <c r="D26" s="633" t="s">
        <v>718</v>
      </c>
      <c r="E26" s="729">
        <v>69.284000000000006</v>
      </c>
      <c r="F26" s="729">
        <f t="shared" si="0"/>
        <v>69.284000000000006</v>
      </c>
      <c r="G26" s="622"/>
      <c r="H26" s="622"/>
      <c r="I26" s="474"/>
      <c r="J26" s="474"/>
      <c r="K26" s="474"/>
      <c r="L26" s="474"/>
      <c r="M26" s="474"/>
      <c r="N26" s="474"/>
      <c r="O26" s="474"/>
      <c r="P26" s="474"/>
      <c r="Q26" s="474"/>
    </row>
    <row r="27" spans="1:17" s="442" customFormat="1" ht="21" customHeight="1">
      <c r="A27" s="623"/>
      <c r="B27" s="629"/>
      <c r="C27" s="469"/>
      <c r="D27" s="633" t="s">
        <v>717</v>
      </c>
      <c r="E27" s="729">
        <v>15.254999999999999</v>
      </c>
      <c r="F27" s="729">
        <f t="shared" si="0"/>
        <v>15.254999999999999</v>
      </c>
      <c r="G27" s="622"/>
      <c r="H27" s="622"/>
      <c r="I27" s="474"/>
      <c r="J27" s="474"/>
      <c r="K27" s="474"/>
      <c r="L27" s="474"/>
      <c r="M27" s="474"/>
      <c r="N27" s="474"/>
      <c r="O27" s="474"/>
      <c r="P27" s="474"/>
      <c r="Q27" s="474"/>
    </row>
    <row r="28" spans="1:17" s="442" customFormat="1" ht="21" customHeight="1">
      <c r="A28" s="623"/>
      <c r="B28" s="629"/>
      <c r="C28" s="469"/>
      <c r="D28" s="633" t="s">
        <v>719</v>
      </c>
      <c r="E28" s="729">
        <v>20.13</v>
      </c>
      <c r="F28" s="729">
        <f t="shared" si="0"/>
        <v>20.13</v>
      </c>
      <c r="G28" s="622"/>
      <c r="H28" s="622"/>
      <c r="I28" s="474"/>
      <c r="J28" s="474"/>
      <c r="K28" s="474"/>
      <c r="L28" s="474"/>
      <c r="M28" s="474"/>
      <c r="N28" s="474"/>
      <c r="O28" s="474"/>
      <c r="P28" s="474"/>
      <c r="Q28" s="474"/>
    </row>
    <row r="29" spans="1:17" s="442" customFormat="1" ht="21" customHeight="1">
      <c r="A29" s="623"/>
      <c r="B29" s="629"/>
      <c r="C29" s="469"/>
      <c r="D29" s="633" t="s">
        <v>942</v>
      </c>
      <c r="E29" s="729">
        <v>27.562999999999999</v>
      </c>
      <c r="F29" s="729">
        <f t="shared" si="0"/>
        <v>27.562999999999999</v>
      </c>
      <c r="G29" s="622"/>
      <c r="H29" s="622"/>
      <c r="I29" s="474"/>
      <c r="J29" s="474"/>
      <c r="K29" s="474"/>
      <c r="L29" s="474"/>
      <c r="M29" s="474"/>
      <c r="N29" s="474"/>
      <c r="O29" s="474"/>
      <c r="P29" s="474"/>
      <c r="Q29" s="474"/>
    </row>
    <row r="30" spans="1:17" s="442" customFormat="1" ht="21" customHeight="1">
      <c r="A30" s="623"/>
      <c r="B30" s="629"/>
      <c r="C30" s="469"/>
      <c r="D30" s="633" t="s">
        <v>943</v>
      </c>
      <c r="E30" s="729">
        <v>21.686</v>
      </c>
      <c r="F30" s="729">
        <f t="shared" si="0"/>
        <v>21.686</v>
      </c>
      <c r="G30" s="622"/>
      <c r="H30" s="622"/>
      <c r="I30" s="474"/>
      <c r="J30" s="474"/>
      <c r="K30" s="474"/>
      <c r="L30" s="474"/>
      <c r="M30" s="474"/>
      <c r="N30" s="474"/>
      <c r="O30" s="474"/>
      <c r="P30" s="474"/>
      <c r="Q30" s="474"/>
    </row>
    <row r="31" spans="1:17" s="442" customFormat="1" ht="54" customHeight="1">
      <c r="A31" s="623">
        <v>3</v>
      </c>
      <c r="B31" s="630" t="s">
        <v>939</v>
      </c>
      <c r="C31" s="453" t="s">
        <v>944</v>
      </c>
      <c r="D31" s="628"/>
      <c r="E31" s="730">
        <f>SUM(E32:E49)</f>
        <v>2435.4469999999997</v>
      </c>
      <c r="F31" s="730">
        <f>SUM(F32:F49)</f>
        <v>2431.1549999999997</v>
      </c>
      <c r="G31" s="622"/>
      <c r="H31" s="622"/>
      <c r="I31" s="474"/>
      <c r="J31" s="474"/>
      <c r="K31" s="474"/>
      <c r="L31" s="474"/>
      <c r="M31" s="474"/>
      <c r="N31" s="474"/>
      <c r="O31" s="474"/>
      <c r="P31" s="474"/>
      <c r="Q31" s="474"/>
    </row>
    <row r="32" spans="1:17" s="640" customFormat="1" ht="24.75" customHeight="1">
      <c r="A32" s="634"/>
      <c r="B32" s="635"/>
      <c r="C32" s="636"/>
      <c r="D32" s="637" t="s">
        <v>715</v>
      </c>
      <c r="E32" s="731">
        <v>22.408000000000001</v>
      </c>
      <c r="F32" s="729">
        <f>+E32</f>
        <v>22.408000000000001</v>
      </c>
      <c r="G32" s="638"/>
      <c r="H32" s="638"/>
      <c r="I32" s="639"/>
      <c r="J32" s="639"/>
      <c r="K32" s="639"/>
      <c r="L32" s="639"/>
      <c r="M32" s="639"/>
      <c r="N32" s="639"/>
      <c r="O32" s="639"/>
      <c r="P32" s="639"/>
      <c r="Q32" s="639"/>
    </row>
    <row r="33" spans="1:17" s="640" customFormat="1" ht="24.75" customHeight="1">
      <c r="A33" s="634"/>
      <c r="B33" s="635"/>
      <c r="C33" s="636"/>
      <c r="D33" s="637" t="s">
        <v>711</v>
      </c>
      <c r="E33" s="731">
        <f>193.078+4.084</f>
        <v>197.16200000000001</v>
      </c>
      <c r="F33" s="729">
        <f t="shared" ref="F33:F49" si="1">+E33</f>
        <v>197.16200000000001</v>
      </c>
      <c r="G33" s="638"/>
      <c r="H33" s="638"/>
      <c r="I33" s="639"/>
      <c r="J33" s="639"/>
      <c r="K33" s="639"/>
      <c r="L33" s="639"/>
      <c r="M33" s="639"/>
      <c r="N33" s="639"/>
      <c r="O33" s="639"/>
      <c r="P33" s="639"/>
      <c r="Q33" s="639"/>
    </row>
    <row r="34" spans="1:17" s="640" customFormat="1" ht="24.75" customHeight="1">
      <c r="A34" s="634"/>
      <c r="B34" s="635"/>
      <c r="C34" s="636"/>
      <c r="D34" s="637" t="s">
        <v>713</v>
      </c>
      <c r="E34" s="731">
        <v>10.83</v>
      </c>
      <c r="F34" s="729">
        <f t="shared" si="1"/>
        <v>10.83</v>
      </c>
      <c r="G34" s="638"/>
      <c r="H34" s="638"/>
      <c r="I34" s="639"/>
      <c r="J34" s="639"/>
      <c r="K34" s="639"/>
      <c r="L34" s="639"/>
      <c r="M34" s="639"/>
      <c r="N34" s="639"/>
      <c r="O34" s="639"/>
      <c r="P34" s="639"/>
      <c r="Q34" s="639"/>
    </row>
    <row r="35" spans="1:17" s="640" customFormat="1" ht="24.75" customHeight="1">
      <c r="A35" s="634"/>
      <c r="B35" s="635"/>
      <c r="C35" s="636"/>
      <c r="D35" s="637" t="s">
        <v>715</v>
      </c>
      <c r="E35" s="731">
        <v>152.57</v>
      </c>
      <c r="F35" s="729">
        <f t="shared" si="1"/>
        <v>152.57</v>
      </c>
      <c r="G35" s="638"/>
      <c r="H35" s="638"/>
      <c r="I35" s="639"/>
      <c r="J35" s="639"/>
      <c r="K35" s="639"/>
      <c r="L35" s="639"/>
      <c r="M35" s="639"/>
      <c r="N35" s="639"/>
      <c r="O35" s="639"/>
      <c r="P35" s="639"/>
      <c r="Q35" s="639"/>
    </row>
    <row r="36" spans="1:17" s="640" customFormat="1" ht="24.75" customHeight="1">
      <c r="A36" s="634"/>
      <c r="B36" s="635"/>
      <c r="C36" s="636"/>
      <c r="D36" s="637" t="s">
        <v>721</v>
      </c>
      <c r="E36" s="731">
        <f>68.058+37.6</f>
        <v>105.65800000000002</v>
      </c>
      <c r="F36" s="729">
        <f t="shared" si="1"/>
        <v>105.65800000000002</v>
      </c>
      <c r="G36" s="638"/>
      <c r="H36" s="638"/>
      <c r="I36" s="639"/>
      <c r="J36" s="639"/>
      <c r="K36" s="639"/>
      <c r="L36" s="639"/>
      <c r="M36" s="639"/>
      <c r="N36" s="639"/>
      <c r="O36" s="639"/>
      <c r="P36" s="639"/>
      <c r="Q36" s="639"/>
    </row>
    <row r="37" spans="1:17" s="640" customFormat="1" ht="24.75" customHeight="1">
      <c r="A37" s="634"/>
      <c r="B37" s="635"/>
      <c r="C37" s="636"/>
      <c r="D37" s="637" t="s">
        <v>712</v>
      </c>
      <c r="E37" s="731">
        <f>30.02+24.896</f>
        <v>54.915999999999997</v>
      </c>
      <c r="F37" s="729">
        <f t="shared" si="1"/>
        <v>54.915999999999997</v>
      </c>
      <c r="G37" s="638"/>
      <c r="H37" s="638"/>
      <c r="I37" s="639"/>
      <c r="J37" s="639"/>
      <c r="K37" s="639"/>
      <c r="L37" s="639"/>
      <c r="M37" s="639"/>
      <c r="N37" s="639"/>
      <c r="O37" s="639"/>
      <c r="P37" s="639"/>
      <c r="Q37" s="639"/>
    </row>
    <row r="38" spans="1:17" s="640" customFormat="1" ht="24.75" customHeight="1">
      <c r="A38" s="634"/>
      <c r="B38" s="635"/>
      <c r="C38" s="636"/>
      <c r="D38" s="637" t="s">
        <v>722</v>
      </c>
      <c r="E38" s="731">
        <f>284.62+3.2</f>
        <v>287.82</v>
      </c>
      <c r="F38" s="729">
        <f t="shared" si="1"/>
        <v>287.82</v>
      </c>
      <c r="G38" s="638"/>
      <c r="H38" s="638"/>
      <c r="I38" s="639"/>
      <c r="J38" s="639"/>
      <c r="K38" s="639"/>
      <c r="L38" s="639"/>
      <c r="M38" s="639"/>
      <c r="N38" s="639"/>
      <c r="O38" s="639"/>
      <c r="P38" s="639"/>
      <c r="Q38" s="639"/>
    </row>
    <row r="39" spans="1:17" s="640" customFormat="1" ht="24.75" customHeight="1">
      <c r="A39" s="634"/>
      <c r="B39" s="635"/>
      <c r="C39" s="636"/>
      <c r="D39" s="641" t="s">
        <v>714</v>
      </c>
      <c r="E39" s="731">
        <f>50.92+16.019</f>
        <v>66.938999999999993</v>
      </c>
      <c r="F39" s="729">
        <f t="shared" si="1"/>
        <v>66.938999999999993</v>
      </c>
      <c r="G39" s="638"/>
      <c r="H39" s="638"/>
      <c r="I39" s="639"/>
      <c r="J39" s="639"/>
      <c r="K39" s="639"/>
      <c r="L39" s="639"/>
      <c r="M39" s="639"/>
      <c r="N39" s="639"/>
      <c r="O39" s="639"/>
      <c r="P39" s="639"/>
      <c r="Q39" s="639"/>
    </row>
    <row r="40" spans="1:17" s="640" customFormat="1" ht="24.75" customHeight="1">
      <c r="A40" s="634"/>
      <c r="B40" s="635"/>
      <c r="C40" s="636"/>
      <c r="D40" s="642" t="s">
        <v>673</v>
      </c>
      <c r="E40" s="731">
        <f>223.554+40.576</f>
        <v>264.13</v>
      </c>
      <c r="F40" s="729">
        <f t="shared" si="1"/>
        <v>264.13</v>
      </c>
      <c r="G40" s="638"/>
      <c r="H40" s="638"/>
      <c r="I40" s="639"/>
      <c r="J40" s="639"/>
      <c r="K40" s="639"/>
      <c r="L40" s="639"/>
      <c r="M40" s="639"/>
      <c r="N40" s="639"/>
      <c r="O40" s="639"/>
      <c r="P40" s="639"/>
      <c r="Q40" s="639"/>
    </row>
    <row r="41" spans="1:17" s="640" customFormat="1" ht="24.75" customHeight="1">
      <c r="A41" s="634"/>
      <c r="B41" s="635"/>
      <c r="C41" s="636"/>
      <c r="D41" s="642" t="s">
        <v>716</v>
      </c>
      <c r="E41" s="731">
        <f>18.164+9.4816</f>
        <v>27.645600000000002</v>
      </c>
      <c r="F41" s="729">
        <f t="shared" si="1"/>
        <v>27.645600000000002</v>
      </c>
      <c r="G41" s="638"/>
      <c r="H41" s="638"/>
      <c r="I41" s="639"/>
      <c r="J41" s="639"/>
      <c r="K41" s="639"/>
      <c r="L41" s="639"/>
      <c r="M41" s="639"/>
      <c r="N41" s="639"/>
      <c r="O41" s="639"/>
      <c r="P41" s="639"/>
      <c r="Q41" s="639"/>
    </row>
    <row r="42" spans="1:17" s="640" customFormat="1" ht="24.75" customHeight="1">
      <c r="A42" s="634"/>
      <c r="B42" s="635"/>
      <c r="C42" s="636"/>
      <c r="D42" s="642" t="s">
        <v>941</v>
      </c>
      <c r="E42" s="731">
        <v>62.966000000000001</v>
      </c>
      <c r="F42" s="729">
        <f t="shared" si="1"/>
        <v>62.966000000000001</v>
      </c>
      <c r="G42" s="638"/>
      <c r="H42" s="638"/>
      <c r="I42" s="639"/>
      <c r="J42" s="639"/>
      <c r="K42" s="639"/>
      <c r="L42" s="639"/>
      <c r="M42" s="639"/>
      <c r="N42" s="639"/>
      <c r="O42" s="639"/>
      <c r="P42" s="639"/>
      <c r="Q42" s="639"/>
    </row>
    <row r="43" spans="1:17" s="640" customFormat="1" ht="24.75" customHeight="1">
      <c r="A43" s="634"/>
      <c r="B43" s="635"/>
      <c r="C43" s="636"/>
      <c r="D43" s="642" t="s">
        <v>723</v>
      </c>
      <c r="E43" s="731">
        <v>9.984</v>
      </c>
      <c r="F43" s="729">
        <f t="shared" si="1"/>
        <v>9.984</v>
      </c>
      <c r="G43" s="638"/>
      <c r="H43" s="638"/>
      <c r="I43" s="639"/>
      <c r="J43" s="639"/>
      <c r="K43" s="639"/>
      <c r="L43" s="639"/>
      <c r="M43" s="639"/>
      <c r="N43" s="639"/>
      <c r="O43" s="639"/>
      <c r="P43" s="639"/>
      <c r="Q43" s="639"/>
    </row>
    <row r="44" spans="1:17" s="640" customFormat="1" ht="24.75" customHeight="1">
      <c r="A44" s="634"/>
      <c r="B44" s="635"/>
      <c r="C44" s="636"/>
      <c r="D44" s="642" t="s">
        <v>720</v>
      </c>
      <c r="E44" s="731">
        <f>405.422+132.3744</f>
        <v>537.79640000000006</v>
      </c>
      <c r="F44" s="729">
        <f t="shared" si="1"/>
        <v>537.79640000000006</v>
      </c>
      <c r="G44" s="638"/>
      <c r="H44" s="638"/>
      <c r="I44" s="639"/>
      <c r="J44" s="639"/>
      <c r="K44" s="639"/>
      <c r="L44" s="639"/>
      <c r="M44" s="639"/>
      <c r="N44" s="639"/>
      <c r="O44" s="639"/>
      <c r="P44" s="639"/>
      <c r="Q44" s="639"/>
    </row>
    <row r="45" spans="1:17" s="640" customFormat="1" ht="24.75" customHeight="1">
      <c r="A45" s="634"/>
      <c r="B45" s="635"/>
      <c r="C45" s="636"/>
      <c r="D45" s="642" t="s">
        <v>718</v>
      </c>
      <c r="E45" s="731">
        <f>169.176+19.776</f>
        <v>188.952</v>
      </c>
      <c r="F45" s="729">
        <f t="shared" si="1"/>
        <v>188.952</v>
      </c>
      <c r="G45" s="638"/>
      <c r="H45" s="638"/>
      <c r="I45" s="639"/>
      <c r="J45" s="639"/>
      <c r="K45" s="639"/>
      <c r="L45" s="639"/>
      <c r="M45" s="639"/>
      <c r="N45" s="639"/>
      <c r="O45" s="639"/>
      <c r="P45" s="639"/>
      <c r="Q45" s="639"/>
    </row>
    <row r="46" spans="1:17" s="640" customFormat="1" ht="24.75" customHeight="1">
      <c r="A46" s="634"/>
      <c r="B46" s="635"/>
      <c r="C46" s="636"/>
      <c r="D46" s="642" t="s">
        <v>717</v>
      </c>
      <c r="E46" s="731">
        <v>41.116</v>
      </c>
      <c r="F46" s="729">
        <f t="shared" si="1"/>
        <v>41.116</v>
      </c>
      <c r="G46" s="638"/>
      <c r="H46" s="638"/>
      <c r="I46" s="639"/>
      <c r="J46" s="639"/>
      <c r="K46" s="639"/>
      <c r="L46" s="639"/>
      <c r="M46" s="639"/>
      <c r="N46" s="639"/>
      <c r="O46" s="639"/>
      <c r="P46" s="639"/>
      <c r="Q46" s="639"/>
    </row>
    <row r="47" spans="1:17" s="640" customFormat="1" ht="24.75" customHeight="1">
      <c r="A47" s="634"/>
      <c r="B47" s="635"/>
      <c r="C47" s="636"/>
      <c r="D47" s="642" t="s">
        <v>719</v>
      </c>
      <c r="E47" s="731">
        <f>270.446+15.932</f>
        <v>286.37800000000004</v>
      </c>
      <c r="F47" s="729">
        <f>+E47-4.092-0.2</f>
        <v>282.08600000000007</v>
      </c>
      <c r="G47" s="638"/>
      <c r="H47" s="638"/>
      <c r="I47" s="639"/>
      <c r="J47" s="639"/>
      <c r="K47" s="639"/>
      <c r="L47" s="639"/>
      <c r="M47" s="639"/>
      <c r="N47" s="639"/>
      <c r="O47" s="639"/>
      <c r="P47" s="639"/>
      <c r="Q47" s="639"/>
    </row>
    <row r="48" spans="1:17" s="640" customFormat="1" ht="24.75" customHeight="1">
      <c r="A48" s="634"/>
      <c r="B48" s="635"/>
      <c r="C48" s="636"/>
      <c r="D48" s="642" t="s">
        <v>942</v>
      </c>
      <c r="E48" s="731">
        <f>30.704+31.872</f>
        <v>62.576000000000001</v>
      </c>
      <c r="F48" s="729">
        <f t="shared" si="1"/>
        <v>62.576000000000001</v>
      </c>
      <c r="G48" s="638"/>
      <c r="H48" s="638"/>
      <c r="I48" s="643"/>
      <c r="J48" s="639"/>
      <c r="K48" s="639"/>
      <c r="L48" s="639"/>
      <c r="M48" s="639"/>
      <c r="N48" s="639"/>
      <c r="O48" s="639"/>
      <c r="P48" s="639"/>
      <c r="Q48" s="639"/>
    </row>
    <row r="49" spans="1:17" s="640" customFormat="1" ht="24.75" customHeight="1">
      <c r="A49" s="634"/>
      <c r="B49" s="635"/>
      <c r="C49" s="636"/>
      <c r="D49" s="642" t="s">
        <v>943</v>
      </c>
      <c r="E49" s="731">
        <f>55.024+0.576</f>
        <v>55.6</v>
      </c>
      <c r="F49" s="729">
        <f t="shared" si="1"/>
        <v>55.6</v>
      </c>
      <c r="G49" s="638"/>
      <c r="H49" s="638"/>
      <c r="I49" s="639"/>
      <c r="J49" s="639"/>
      <c r="K49" s="639"/>
      <c r="L49" s="639"/>
      <c r="M49" s="639"/>
      <c r="N49" s="639"/>
      <c r="O49" s="639"/>
      <c r="P49" s="639"/>
      <c r="Q49" s="639"/>
    </row>
    <row r="50" spans="1:17" s="474" customFormat="1" ht="24" customHeight="1">
      <c r="A50" s="623">
        <v>4</v>
      </c>
      <c r="B50" s="628" t="s">
        <v>202</v>
      </c>
      <c r="C50" s="469"/>
      <c r="D50" s="628"/>
      <c r="E50" s="730">
        <f>SUM(E51:E59)</f>
        <v>2551.1238130000002</v>
      </c>
      <c r="F50" s="730">
        <f>SUM(F51:F59)</f>
        <v>2510.9596999999999</v>
      </c>
      <c r="G50" s="644"/>
      <c r="H50" s="645"/>
    </row>
    <row r="51" spans="1:17" s="474" customFormat="1" ht="37.5" customHeight="1">
      <c r="A51" s="623" t="s">
        <v>73</v>
      </c>
      <c r="B51" s="630" t="s">
        <v>945</v>
      </c>
      <c r="C51" s="453" t="s">
        <v>946</v>
      </c>
      <c r="D51" s="1877" t="s">
        <v>947</v>
      </c>
      <c r="E51" s="729">
        <v>95.429199999999994</v>
      </c>
      <c r="F51" s="729">
        <f>+E51</f>
        <v>95.429199999999994</v>
      </c>
      <c r="G51" s="646"/>
      <c r="H51" s="645"/>
    </row>
    <row r="52" spans="1:17" s="437" customFormat="1" ht="37.5" customHeight="1">
      <c r="A52" s="623" t="s">
        <v>73</v>
      </c>
      <c r="B52" s="630" t="s">
        <v>729</v>
      </c>
      <c r="C52" s="1856" t="s">
        <v>948</v>
      </c>
      <c r="D52" s="1877"/>
      <c r="E52" s="732">
        <v>120</v>
      </c>
      <c r="F52" s="729">
        <f>+E52-3.0354</f>
        <v>116.9646</v>
      </c>
      <c r="G52" s="646"/>
    </row>
    <row r="53" spans="1:17" s="442" customFormat="1" ht="37.5" customHeight="1">
      <c r="A53" s="623" t="s">
        <v>73</v>
      </c>
      <c r="B53" s="647" t="s">
        <v>731</v>
      </c>
      <c r="C53" s="1856"/>
      <c r="D53" s="1877"/>
      <c r="E53" s="733">
        <v>120</v>
      </c>
      <c r="F53" s="729">
        <f>+E53-0.5857</f>
        <v>119.4143</v>
      </c>
      <c r="G53" s="646"/>
    </row>
    <row r="54" spans="1:17" s="442" customFormat="1" ht="37.5" customHeight="1">
      <c r="A54" s="623" t="s">
        <v>73</v>
      </c>
      <c r="B54" s="648" t="s">
        <v>734</v>
      </c>
      <c r="C54" s="1856"/>
      <c r="D54" s="1877"/>
      <c r="E54" s="733">
        <v>600</v>
      </c>
      <c r="F54" s="729">
        <f>+E54-6.0184</f>
        <v>593.98159999999996</v>
      </c>
      <c r="G54" s="646"/>
    </row>
    <row r="55" spans="1:17" s="442" customFormat="1" ht="37.5" customHeight="1">
      <c r="A55" s="623" t="s">
        <v>73</v>
      </c>
      <c r="B55" s="648" t="s">
        <v>732</v>
      </c>
      <c r="C55" s="1856"/>
      <c r="D55" s="1877"/>
      <c r="E55" s="733">
        <v>66.369033000000002</v>
      </c>
      <c r="F55" s="729">
        <f>+E55-0.494233</f>
        <v>65.874800000000008</v>
      </c>
      <c r="G55" s="646"/>
    </row>
    <row r="56" spans="1:17" s="442" customFormat="1" ht="37.5" customHeight="1">
      <c r="A56" s="623" t="s">
        <v>73</v>
      </c>
      <c r="B56" s="648" t="s">
        <v>736</v>
      </c>
      <c r="C56" s="1856"/>
      <c r="D56" s="1877"/>
      <c r="E56" s="733">
        <v>399.32558</v>
      </c>
      <c r="F56" s="729">
        <f>+E56-0.56828</f>
        <v>398.75729999999999</v>
      </c>
      <c r="G56" s="646"/>
    </row>
    <row r="57" spans="1:17" s="442" customFormat="1" ht="37.5" customHeight="1">
      <c r="A57" s="623" t="s">
        <v>73</v>
      </c>
      <c r="B57" s="648" t="s">
        <v>733</v>
      </c>
      <c r="C57" s="1856"/>
      <c r="D57" s="1877"/>
      <c r="E57" s="732">
        <v>250</v>
      </c>
      <c r="F57" s="729">
        <f>+E57-0.624</f>
        <v>249.376</v>
      </c>
      <c r="G57" s="646"/>
    </row>
    <row r="58" spans="1:17" s="442" customFormat="1" ht="37.5" customHeight="1">
      <c r="A58" s="623" t="s">
        <v>73</v>
      </c>
      <c r="B58" s="649" t="s">
        <v>735</v>
      </c>
      <c r="C58" s="1856"/>
      <c r="D58" s="1877"/>
      <c r="E58" s="732">
        <v>450</v>
      </c>
      <c r="F58" s="729">
        <f>+E58-11.5928</f>
        <v>438.40719999999999</v>
      </c>
      <c r="G58" s="646"/>
    </row>
    <row r="59" spans="1:17" s="442" customFormat="1" ht="37.5" customHeight="1">
      <c r="A59" s="623" t="s">
        <v>73</v>
      </c>
      <c r="B59" s="630" t="s">
        <v>737</v>
      </c>
      <c r="C59" s="1856"/>
      <c r="D59" s="1877"/>
      <c r="E59" s="732">
        <v>450</v>
      </c>
      <c r="F59" s="729">
        <f>+E59-17.2453</f>
        <v>432.75470000000001</v>
      </c>
      <c r="G59" s="646"/>
    </row>
    <row r="60" spans="1:17" s="652" customFormat="1" ht="27.75" customHeight="1">
      <c r="A60" s="650" t="s">
        <v>64</v>
      </c>
      <c r="B60" s="651" t="s">
        <v>949</v>
      </c>
      <c r="C60" s="651"/>
      <c r="D60" s="651"/>
      <c r="E60" s="734">
        <f>+E6-F12</f>
        <v>3360.9342999999999</v>
      </c>
      <c r="F60" s="735"/>
    </row>
    <row r="61" spans="1:17" s="442" customFormat="1" ht="27.75" customHeight="1">
      <c r="A61" s="653"/>
      <c r="B61" s="480" t="s">
        <v>950</v>
      </c>
      <c r="C61" s="476"/>
      <c r="D61" s="476"/>
      <c r="E61" s="671">
        <f>+E60-E62-E63</f>
        <v>3311.0122999999999</v>
      </c>
      <c r="F61" s="736"/>
    </row>
    <row r="62" spans="1:17" s="442" customFormat="1" ht="27.75" customHeight="1">
      <c r="A62" s="654"/>
      <c r="B62" s="655" t="s">
        <v>951</v>
      </c>
      <c r="C62" s="476"/>
      <c r="D62" s="476"/>
      <c r="E62" s="671">
        <v>45.63</v>
      </c>
      <c r="F62" s="736"/>
    </row>
    <row r="63" spans="1:17" s="442" customFormat="1" ht="27.75" customHeight="1">
      <c r="A63" s="656"/>
      <c r="B63" s="655" t="s">
        <v>952</v>
      </c>
      <c r="C63" s="657"/>
      <c r="D63" s="657"/>
      <c r="E63" s="672">
        <v>4.2919999999999998</v>
      </c>
      <c r="F63" s="737"/>
    </row>
    <row r="64" spans="1:17">
      <c r="E64" s="658"/>
    </row>
    <row r="65" spans="1:9" s="420" customFormat="1" ht="15.75">
      <c r="A65" s="396"/>
      <c r="B65" s="28"/>
      <c r="C65" s="1667" t="s">
        <v>741</v>
      </c>
      <c r="D65" s="1667"/>
      <c r="E65" s="1667"/>
      <c r="F65" s="1667"/>
      <c r="G65" s="1667"/>
      <c r="H65" s="483"/>
    </row>
    <row r="66" spans="1:9" ht="18.75">
      <c r="A66" s="1670" t="s">
        <v>406</v>
      </c>
      <c r="B66" s="1670"/>
      <c r="C66" s="1670" t="s">
        <v>580</v>
      </c>
      <c r="D66" s="1670"/>
      <c r="E66" s="1670"/>
      <c r="F66" s="1670"/>
      <c r="G66" s="1670"/>
      <c r="H66" s="484"/>
    </row>
    <row r="67" spans="1:9" ht="15.75">
      <c r="A67" s="1667" t="s">
        <v>407</v>
      </c>
      <c r="B67" s="1667"/>
      <c r="C67" s="1667" t="s">
        <v>151</v>
      </c>
      <c r="D67" s="1667"/>
      <c r="E67" s="1667"/>
      <c r="F67" s="1667"/>
      <c r="G67" s="1667"/>
      <c r="H67" s="667"/>
      <c r="I67" s="667"/>
    </row>
    <row r="68" spans="1:9" ht="15">
      <c r="A68" s="28"/>
      <c r="B68" s="28"/>
      <c r="C68" s="211"/>
      <c r="D68" s="28"/>
      <c r="E68" s="28"/>
      <c r="F68" s="28"/>
    </row>
    <row r="69" spans="1:9" ht="15">
      <c r="A69" s="28"/>
      <c r="B69" s="28"/>
      <c r="C69" s="211"/>
      <c r="D69" s="28"/>
      <c r="E69" s="28"/>
      <c r="F69" s="28"/>
    </row>
    <row r="70" spans="1:9" ht="15">
      <c r="A70" s="28"/>
      <c r="B70" s="28"/>
      <c r="C70" s="211"/>
      <c r="D70" s="28"/>
      <c r="E70" s="28"/>
      <c r="F70" s="28"/>
    </row>
    <row r="71" spans="1:9" ht="30" customHeight="1">
      <c r="A71" s="28"/>
      <c r="B71" s="28"/>
      <c r="C71" s="211"/>
      <c r="D71" s="28"/>
      <c r="E71" s="28"/>
      <c r="F71" s="28"/>
    </row>
    <row r="72" spans="1:9" ht="15">
      <c r="A72" s="28"/>
      <c r="B72" s="28"/>
      <c r="C72" s="211"/>
      <c r="D72" s="28"/>
      <c r="E72" s="28"/>
      <c r="F72" s="28"/>
    </row>
    <row r="73" spans="1:9" ht="15">
      <c r="A73" s="28"/>
      <c r="B73" s="28"/>
      <c r="C73" s="211"/>
      <c r="D73" s="28"/>
      <c r="E73" s="28"/>
      <c r="F73" s="28"/>
    </row>
    <row r="74" spans="1:9" ht="18.75">
      <c r="A74" s="1717" t="s">
        <v>513</v>
      </c>
      <c r="B74" s="1717"/>
      <c r="C74" s="1717" t="s">
        <v>553</v>
      </c>
      <c r="D74" s="1717"/>
      <c r="E74" s="1717"/>
      <c r="F74" s="1717"/>
      <c r="G74" s="1717"/>
    </row>
    <row r="75" spans="1:9">
      <c r="H75" s="486"/>
    </row>
  </sheetData>
  <mergeCells count="12">
    <mergeCell ref="A74:B74"/>
    <mergeCell ref="C74:G74"/>
    <mergeCell ref="E1:F1"/>
    <mergeCell ref="A66:B66"/>
    <mergeCell ref="C66:G66"/>
    <mergeCell ref="A67:B67"/>
    <mergeCell ref="C67:G67"/>
    <mergeCell ref="C65:G65"/>
    <mergeCell ref="E3:F3"/>
    <mergeCell ref="D51:D59"/>
    <mergeCell ref="C52:C59"/>
    <mergeCell ref="A2:F2"/>
  </mergeCells>
  <pageMargins left="0.26" right="0.16" top="0.5" bottom="0.21" header="0.3" footer="0.2"/>
  <pageSetup paperSize="9" orientation="landscape"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H45"/>
  <sheetViews>
    <sheetView topLeftCell="A4" workbookViewId="0">
      <selection activeCell="K26" sqref="K26"/>
    </sheetView>
  </sheetViews>
  <sheetFormatPr defaultRowHeight="15"/>
  <cols>
    <col min="1" max="1" width="6" style="756" customWidth="1"/>
    <col min="2" max="2" width="43.7109375" style="756" customWidth="1"/>
    <col min="3" max="3" width="44.5703125" style="747" customWidth="1"/>
    <col min="4" max="4" width="7" style="747" hidden="1" customWidth="1"/>
    <col min="5" max="5" width="26.28515625" style="755" customWidth="1"/>
    <col min="6" max="227" width="9.28515625" style="756"/>
    <col min="228" max="228" width="3" style="756" customWidth="1"/>
    <col min="229" max="229" width="9.28515625" style="756" customWidth="1"/>
    <col min="230" max="230" width="63.42578125" style="756" customWidth="1"/>
    <col min="231" max="231" width="23.7109375" style="756" customWidth="1"/>
    <col min="232" max="232" width="19.7109375" style="756" bestFit="1" customWidth="1"/>
    <col min="233" max="233" width="13.7109375" style="756" customWidth="1"/>
    <col min="234" max="483" width="9.28515625" style="756"/>
    <col min="484" max="484" width="3" style="756" customWidth="1"/>
    <col min="485" max="485" width="9.28515625" style="756" customWidth="1"/>
    <col min="486" max="486" width="63.42578125" style="756" customWidth="1"/>
    <col min="487" max="487" width="23.7109375" style="756" customWidth="1"/>
    <col min="488" max="488" width="19.7109375" style="756" bestFit="1" customWidth="1"/>
    <col min="489" max="489" width="13.7109375" style="756" customWidth="1"/>
    <col min="490" max="739" width="9.28515625" style="756"/>
    <col min="740" max="740" width="3" style="756" customWidth="1"/>
    <col min="741" max="741" width="9.28515625" style="756" customWidth="1"/>
    <col min="742" max="742" width="63.42578125" style="756" customWidth="1"/>
    <col min="743" max="743" width="23.7109375" style="756" customWidth="1"/>
    <col min="744" max="744" width="19.7109375" style="756" bestFit="1" customWidth="1"/>
    <col min="745" max="745" width="13.7109375" style="756" customWidth="1"/>
    <col min="746" max="995" width="9.28515625" style="756"/>
    <col min="996" max="996" width="3" style="756" customWidth="1"/>
    <col min="997" max="997" width="9.28515625" style="756" customWidth="1"/>
    <col min="998" max="998" width="63.42578125" style="756" customWidth="1"/>
    <col min="999" max="999" width="23.7109375" style="756" customWidth="1"/>
    <col min="1000" max="1000" width="19.7109375" style="756" bestFit="1" customWidth="1"/>
    <col min="1001" max="1001" width="13.7109375" style="756" customWidth="1"/>
    <col min="1002" max="1251" width="9.28515625" style="756"/>
    <col min="1252" max="1252" width="3" style="756" customWidth="1"/>
    <col min="1253" max="1253" width="9.28515625" style="756" customWidth="1"/>
    <col min="1254" max="1254" width="63.42578125" style="756" customWidth="1"/>
    <col min="1255" max="1255" width="23.7109375" style="756" customWidth="1"/>
    <col min="1256" max="1256" width="19.7109375" style="756" bestFit="1" customWidth="1"/>
    <col min="1257" max="1257" width="13.7109375" style="756" customWidth="1"/>
    <col min="1258" max="1507" width="9.28515625" style="756"/>
    <col min="1508" max="1508" width="3" style="756" customWidth="1"/>
    <col min="1509" max="1509" width="9.28515625" style="756" customWidth="1"/>
    <col min="1510" max="1510" width="63.42578125" style="756" customWidth="1"/>
    <col min="1511" max="1511" width="23.7109375" style="756" customWidth="1"/>
    <col min="1512" max="1512" width="19.7109375" style="756" bestFit="1" customWidth="1"/>
    <col min="1513" max="1513" width="13.7109375" style="756" customWidth="1"/>
    <col min="1514" max="1763" width="9.28515625" style="756"/>
    <col min="1764" max="1764" width="3" style="756" customWidth="1"/>
    <col min="1765" max="1765" width="9.28515625" style="756" customWidth="1"/>
    <col min="1766" max="1766" width="63.42578125" style="756" customWidth="1"/>
    <col min="1767" max="1767" width="23.7109375" style="756" customWidth="1"/>
    <col min="1768" max="1768" width="19.7109375" style="756" bestFit="1" customWidth="1"/>
    <col min="1769" max="1769" width="13.7109375" style="756" customWidth="1"/>
    <col min="1770" max="2019" width="9.28515625" style="756"/>
    <col min="2020" max="2020" width="3" style="756" customWidth="1"/>
    <col min="2021" max="2021" width="9.28515625" style="756" customWidth="1"/>
    <col min="2022" max="2022" width="63.42578125" style="756" customWidth="1"/>
    <col min="2023" max="2023" width="23.7109375" style="756" customWidth="1"/>
    <col min="2024" max="2024" width="19.7109375" style="756" bestFit="1" customWidth="1"/>
    <col min="2025" max="2025" width="13.7109375" style="756" customWidth="1"/>
    <col min="2026" max="2275" width="9.28515625" style="756"/>
    <col min="2276" max="2276" width="3" style="756" customWidth="1"/>
    <col min="2277" max="2277" width="9.28515625" style="756" customWidth="1"/>
    <col min="2278" max="2278" width="63.42578125" style="756" customWidth="1"/>
    <col min="2279" max="2279" width="23.7109375" style="756" customWidth="1"/>
    <col min="2280" max="2280" width="19.7109375" style="756" bestFit="1" customWidth="1"/>
    <col min="2281" max="2281" width="13.7109375" style="756" customWidth="1"/>
    <col min="2282" max="2531" width="9.28515625" style="756"/>
    <col min="2532" max="2532" width="3" style="756" customWidth="1"/>
    <col min="2533" max="2533" width="9.28515625" style="756" customWidth="1"/>
    <col min="2534" max="2534" width="63.42578125" style="756" customWidth="1"/>
    <col min="2535" max="2535" width="23.7109375" style="756" customWidth="1"/>
    <col min="2536" max="2536" width="19.7109375" style="756" bestFit="1" customWidth="1"/>
    <col min="2537" max="2537" width="13.7109375" style="756" customWidth="1"/>
    <col min="2538" max="2787" width="9.28515625" style="756"/>
    <col min="2788" max="2788" width="3" style="756" customWidth="1"/>
    <col min="2789" max="2789" width="9.28515625" style="756" customWidth="1"/>
    <col min="2790" max="2790" width="63.42578125" style="756" customWidth="1"/>
    <col min="2791" max="2791" width="23.7109375" style="756" customWidth="1"/>
    <col min="2792" max="2792" width="19.7109375" style="756" bestFit="1" customWidth="1"/>
    <col min="2793" max="2793" width="13.7109375" style="756" customWidth="1"/>
    <col min="2794" max="3043" width="9.28515625" style="756"/>
    <col min="3044" max="3044" width="3" style="756" customWidth="1"/>
    <col min="3045" max="3045" width="9.28515625" style="756" customWidth="1"/>
    <col min="3046" max="3046" width="63.42578125" style="756" customWidth="1"/>
    <col min="3047" max="3047" width="23.7109375" style="756" customWidth="1"/>
    <col min="3048" max="3048" width="19.7109375" style="756" bestFit="1" customWidth="1"/>
    <col min="3049" max="3049" width="13.7109375" style="756" customWidth="1"/>
    <col min="3050" max="3299" width="9.28515625" style="756"/>
    <col min="3300" max="3300" width="3" style="756" customWidth="1"/>
    <col min="3301" max="3301" width="9.28515625" style="756" customWidth="1"/>
    <col min="3302" max="3302" width="63.42578125" style="756" customWidth="1"/>
    <col min="3303" max="3303" width="23.7109375" style="756" customWidth="1"/>
    <col min="3304" max="3304" width="19.7109375" style="756" bestFit="1" customWidth="1"/>
    <col min="3305" max="3305" width="13.7109375" style="756" customWidth="1"/>
    <col min="3306" max="3555" width="9.28515625" style="756"/>
    <col min="3556" max="3556" width="3" style="756" customWidth="1"/>
    <col min="3557" max="3557" width="9.28515625" style="756" customWidth="1"/>
    <col min="3558" max="3558" width="63.42578125" style="756" customWidth="1"/>
    <col min="3559" max="3559" width="23.7109375" style="756" customWidth="1"/>
    <col min="3560" max="3560" width="19.7109375" style="756" bestFit="1" customWidth="1"/>
    <col min="3561" max="3561" width="13.7109375" style="756" customWidth="1"/>
    <col min="3562" max="3811" width="9.28515625" style="756"/>
    <col min="3812" max="3812" width="3" style="756" customWidth="1"/>
    <col min="3813" max="3813" width="9.28515625" style="756" customWidth="1"/>
    <col min="3814" max="3814" width="63.42578125" style="756" customWidth="1"/>
    <col min="3815" max="3815" width="23.7109375" style="756" customWidth="1"/>
    <col min="3816" max="3816" width="19.7109375" style="756" bestFit="1" customWidth="1"/>
    <col min="3817" max="3817" width="13.7109375" style="756" customWidth="1"/>
    <col min="3818" max="4067" width="9.28515625" style="756"/>
    <col min="4068" max="4068" width="3" style="756" customWidth="1"/>
    <col min="4069" max="4069" width="9.28515625" style="756" customWidth="1"/>
    <col min="4070" max="4070" width="63.42578125" style="756" customWidth="1"/>
    <col min="4071" max="4071" width="23.7109375" style="756" customWidth="1"/>
    <col min="4072" max="4072" width="19.7109375" style="756" bestFit="1" customWidth="1"/>
    <col min="4073" max="4073" width="13.7109375" style="756" customWidth="1"/>
    <col min="4074" max="4323" width="9.28515625" style="756"/>
    <col min="4324" max="4324" width="3" style="756" customWidth="1"/>
    <col min="4325" max="4325" width="9.28515625" style="756" customWidth="1"/>
    <col min="4326" max="4326" width="63.42578125" style="756" customWidth="1"/>
    <col min="4327" max="4327" width="23.7109375" style="756" customWidth="1"/>
    <col min="4328" max="4328" width="19.7109375" style="756" bestFit="1" customWidth="1"/>
    <col min="4329" max="4329" width="13.7109375" style="756" customWidth="1"/>
    <col min="4330" max="4579" width="9.28515625" style="756"/>
    <col min="4580" max="4580" width="3" style="756" customWidth="1"/>
    <col min="4581" max="4581" width="9.28515625" style="756" customWidth="1"/>
    <col min="4582" max="4582" width="63.42578125" style="756" customWidth="1"/>
    <col min="4583" max="4583" width="23.7109375" style="756" customWidth="1"/>
    <col min="4584" max="4584" width="19.7109375" style="756" bestFit="1" customWidth="1"/>
    <col min="4585" max="4585" width="13.7109375" style="756" customWidth="1"/>
    <col min="4586" max="4835" width="9.28515625" style="756"/>
    <col min="4836" max="4836" width="3" style="756" customWidth="1"/>
    <col min="4837" max="4837" width="9.28515625" style="756" customWidth="1"/>
    <col min="4838" max="4838" width="63.42578125" style="756" customWidth="1"/>
    <col min="4839" max="4839" width="23.7109375" style="756" customWidth="1"/>
    <col min="4840" max="4840" width="19.7109375" style="756" bestFit="1" customWidth="1"/>
    <col min="4841" max="4841" width="13.7109375" style="756" customWidth="1"/>
    <col min="4842" max="5091" width="9.28515625" style="756"/>
    <col min="5092" max="5092" width="3" style="756" customWidth="1"/>
    <col min="5093" max="5093" width="9.28515625" style="756" customWidth="1"/>
    <col min="5094" max="5094" width="63.42578125" style="756" customWidth="1"/>
    <col min="5095" max="5095" width="23.7109375" style="756" customWidth="1"/>
    <col min="5096" max="5096" width="19.7109375" style="756" bestFit="1" customWidth="1"/>
    <col min="5097" max="5097" width="13.7109375" style="756" customWidth="1"/>
    <col min="5098" max="5347" width="9.28515625" style="756"/>
    <col min="5348" max="5348" width="3" style="756" customWidth="1"/>
    <col min="5349" max="5349" width="9.28515625" style="756" customWidth="1"/>
    <col min="5350" max="5350" width="63.42578125" style="756" customWidth="1"/>
    <col min="5351" max="5351" width="23.7109375" style="756" customWidth="1"/>
    <col min="5352" max="5352" width="19.7109375" style="756" bestFit="1" customWidth="1"/>
    <col min="5353" max="5353" width="13.7109375" style="756" customWidth="1"/>
    <col min="5354" max="5603" width="9.28515625" style="756"/>
    <col min="5604" max="5604" width="3" style="756" customWidth="1"/>
    <col min="5605" max="5605" width="9.28515625" style="756" customWidth="1"/>
    <col min="5606" max="5606" width="63.42578125" style="756" customWidth="1"/>
    <col min="5607" max="5607" width="23.7109375" style="756" customWidth="1"/>
    <col min="5608" max="5608" width="19.7109375" style="756" bestFit="1" customWidth="1"/>
    <col min="5609" max="5609" width="13.7109375" style="756" customWidth="1"/>
    <col min="5610" max="5859" width="9.28515625" style="756"/>
    <col min="5860" max="5860" width="3" style="756" customWidth="1"/>
    <col min="5861" max="5861" width="9.28515625" style="756" customWidth="1"/>
    <col min="5862" max="5862" width="63.42578125" style="756" customWidth="1"/>
    <col min="5863" max="5863" width="23.7109375" style="756" customWidth="1"/>
    <col min="5864" max="5864" width="19.7109375" style="756" bestFit="1" customWidth="1"/>
    <col min="5865" max="5865" width="13.7109375" style="756" customWidth="1"/>
    <col min="5866" max="6115" width="9.28515625" style="756"/>
    <col min="6116" max="6116" width="3" style="756" customWidth="1"/>
    <col min="6117" max="6117" width="9.28515625" style="756" customWidth="1"/>
    <col min="6118" max="6118" width="63.42578125" style="756" customWidth="1"/>
    <col min="6119" max="6119" width="23.7109375" style="756" customWidth="1"/>
    <col min="6120" max="6120" width="19.7109375" style="756" bestFit="1" customWidth="1"/>
    <col min="6121" max="6121" width="13.7109375" style="756" customWidth="1"/>
    <col min="6122" max="6371" width="9.28515625" style="756"/>
    <col min="6372" max="6372" width="3" style="756" customWidth="1"/>
    <col min="6373" max="6373" width="9.28515625" style="756" customWidth="1"/>
    <col min="6374" max="6374" width="63.42578125" style="756" customWidth="1"/>
    <col min="6375" max="6375" width="23.7109375" style="756" customWidth="1"/>
    <col min="6376" max="6376" width="19.7109375" style="756" bestFit="1" customWidth="1"/>
    <col min="6377" max="6377" width="13.7109375" style="756" customWidth="1"/>
    <col min="6378" max="6627" width="9.28515625" style="756"/>
    <col min="6628" max="6628" width="3" style="756" customWidth="1"/>
    <col min="6629" max="6629" width="9.28515625" style="756" customWidth="1"/>
    <col min="6630" max="6630" width="63.42578125" style="756" customWidth="1"/>
    <col min="6631" max="6631" width="23.7109375" style="756" customWidth="1"/>
    <col min="6632" max="6632" width="19.7109375" style="756" bestFit="1" customWidth="1"/>
    <col min="6633" max="6633" width="13.7109375" style="756" customWidth="1"/>
    <col min="6634" max="6883" width="9.28515625" style="756"/>
    <col min="6884" max="6884" width="3" style="756" customWidth="1"/>
    <col min="6885" max="6885" width="9.28515625" style="756" customWidth="1"/>
    <col min="6886" max="6886" width="63.42578125" style="756" customWidth="1"/>
    <col min="6887" max="6887" width="23.7109375" style="756" customWidth="1"/>
    <col min="6888" max="6888" width="19.7109375" style="756" bestFit="1" customWidth="1"/>
    <col min="6889" max="6889" width="13.7109375" style="756" customWidth="1"/>
    <col min="6890" max="7139" width="9.28515625" style="756"/>
    <col min="7140" max="7140" width="3" style="756" customWidth="1"/>
    <col min="7141" max="7141" width="9.28515625" style="756" customWidth="1"/>
    <col min="7142" max="7142" width="63.42578125" style="756" customWidth="1"/>
    <col min="7143" max="7143" width="23.7109375" style="756" customWidth="1"/>
    <col min="7144" max="7144" width="19.7109375" style="756" bestFit="1" customWidth="1"/>
    <col min="7145" max="7145" width="13.7109375" style="756" customWidth="1"/>
    <col min="7146" max="7395" width="9.28515625" style="756"/>
    <col min="7396" max="7396" width="3" style="756" customWidth="1"/>
    <col min="7397" max="7397" width="9.28515625" style="756" customWidth="1"/>
    <col min="7398" max="7398" width="63.42578125" style="756" customWidth="1"/>
    <col min="7399" max="7399" width="23.7109375" style="756" customWidth="1"/>
    <col min="7400" max="7400" width="19.7109375" style="756" bestFit="1" customWidth="1"/>
    <col min="7401" max="7401" width="13.7109375" style="756" customWidth="1"/>
    <col min="7402" max="7651" width="9.28515625" style="756"/>
    <col min="7652" max="7652" width="3" style="756" customWidth="1"/>
    <col min="7653" max="7653" width="9.28515625" style="756" customWidth="1"/>
    <col min="7654" max="7654" width="63.42578125" style="756" customWidth="1"/>
    <col min="7655" max="7655" width="23.7109375" style="756" customWidth="1"/>
    <col min="7656" max="7656" width="19.7109375" style="756" bestFit="1" customWidth="1"/>
    <col min="7657" max="7657" width="13.7109375" style="756" customWidth="1"/>
    <col min="7658" max="7907" width="9.28515625" style="756"/>
    <col min="7908" max="7908" width="3" style="756" customWidth="1"/>
    <col min="7909" max="7909" width="9.28515625" style="756" customWidth="1"/>
    <col min="7910" max="7910" width="63.42578125" style="756" customWidth="1"/>
    <col min="7911" max="7911" width="23.7109375" style="756" customWidth="1"/>
    <col min="7912" max="7912" width="19.7109375" style="756" bestFit="1" customWidth="1"/>
    <col min="7913" max="7913" width="13.7109375" style="756" customWidth="1"/>
    <col min="7914" max="8163" width="9.28515625" style="756"/>
    <col min="8164" max="8164" width="3" style="756" customWidth="1"/>
    <col min="8165" max="8165" width="9.28515625" style="756" customWidth="1"/>
    <col min="8166" max="8166" width="63.42578125" style="756" customWidth="1"/>
    <col min="8167" max="8167" width="23.7109375" style="756" customWidth="1"/>
    <col min="8168" max="8168" width="19.7109375" style="756" bestFit="1" customWidth="1"/>
    <col min="8169" max="8169" width="13.7109375" style="756" customWidth="1"/>
    <col min="8170" max="8419" width="9.28515625" style="756"/>
    <col min="8420" max="8420" width="3" style="756" customWidth="1"/>
    <col min="8421" max="8421" width="9.28515625" style="756" customWidth="1"/>
    <col min="8422" max="8422" width="63.42578125" style="756" customWidth="1"/>
    <col min="8423" max="8423" width="23.7109375" style="756" customWidth="1"/>
    <col min="8424" max="8424" width="19.7109375" style="756" bestFit="1" customWidth="1"/>
    <col min="8425" max="8425" width="13.7109375" style="756" customWidth="1"/>
    <col min="8426" max="8675" width="9.28515625" style="756"/>
    <col min="8676" max="8676" width="3" style="756" customWidth="1"/>
    <col min="8677" max="8677" width="9.28515625" style="756" customWidth="1"/>
    <col min="8678" max="8678" width="63.42578125" style="756" customWidth="1"/>
    <col min="8679" max="8679" width="23.7109375" style="756" customWidth="1"/>
    <col min="8680" max="8680" width="19.7109375" style="756" bestFit="1" customWidth="1"/>
    <col min="8681" max="8681" width="13.7109375" style="756" customWidth="1"/>
    <col min="8682" max="8931" width="9.28515625" style="756"/>
    <col min="8932" max="8932" width="3" style="756" customWidth="1"/>
    <col min="8933" max="8933" width="9.28515625" style="756" customWidth="1"/>
    <col min="8934" max="8934" width="63.42578125" style="756" customWidth="1"/>
    <col min="8935" max="8935" width="23.7109375" style="756" customWidth="1"/>
    <col min="8936" max="8936" width="19.7109375" style="756" bestFit="1" customWidth="1"/>
    <col min="8937" max="8937" width="13.7109375" style="756" customWidth="1"/>
    <col min="8938" max="9187" width="9.28515625" style="756"/>
    <col min="9188" max="9188" width="3" style="756" customWidth="1"/>
    <col min="9189" max="9189" width="9.28515625" style="756" customWidth="1"/>
    <col min="9190" max="9190" width="63.42578125" style="756" customWidth="1"/>
    <col min="9191" max="9191" width="23.7109375" style="756" customWidth="1"/>
    <col min="9192" max="9192" width="19.7109375" style="756" bestFit="1" customWidth="1"/>
    <col min="9193" max="9193" width="13.7109375" style="756" customWidth="1"/>
    <col min="9194" max="9443" width="9.28515625" style="756"/>
    <col min="9444" max="9444" width="3" style="756" customWidth="1"/>
    <col min="9445" max="9445" width="9.28515625" style="756" customWidth="1"/>
    <col min="9446" max="9446" width="63.42578125" style="756" customWidth="1"/>
    <col min="9447" max="9447" width="23.7109375" style="756" customWidth="1"/>
    <col min="9448" max="9448" width="19.7109375" style="756" bestFit="1" customWidth="1"/>
    <col min="9449" max="9449" width="13.7109375" style="756" customWidth="1"/>
    <col min="9450" max="9699" width="9.28515625" style="756"/>
    <col min="9700" max="9700" width="3" style="756" customWidth="1"/>
    <col min="9701" max="9701" width="9.28515625" style="756" customWidth="1"/>
    <col min="9702" max="9702" width="63.42578125" style="756" customWidth="1"/>
    <col min="9703" max="9703" width="23.7109375" style="756" customWidth="1"/>
    <col min="9704" max="9704" width="19.7109375" style="756" bestFit="1" customWidth="1"/>
    <col min="9705" max="9705" width="13.7109375" style="756" customWidth="1"/>
    <col min="9706" max="9955" width="9.28515625" style="756"/>
    <col min="9956" max="9956" width="3" style="756" customWidth="1"/>
    <col min="9957" max="9957" width="9.28515625" style="756" customWidth="1"/>
    <col min="9958" max="9958" width="63.42578125" style="756" customWidth="1"/>
    <col min="9959" max="9959" width="23.7109375" style="756" customWidth="1"/>
    <col min="9960" max="9960" width="19.7109375" style="756" bestFit="1" customWidth="1"/>
    <col min="9961" max="9961" width="13.7109375" style="756" customWidth="1"/>
    <col min="9962" max="10211" width="9.28515625" style="756"/>
    <col min="10212" max="10212" width="3" style="756" customWidth="1"/>
    <col min="10213" max="10213" width="9.28515625" style="756" customWidth="1"/>
    <col min="10214" max="10214" width="63.42578125" style="756" customWidth="1"/>
    <col min="10215" max="10215" width="23.7109375" style="756" customWidth="1"/>
    <col min="10216" max="10216" width="19.7109375" style="756" bestFit="1" customWidth="1"/>
    <col min="10217" max="10217" width="13.7109375" style="756" customWidth="1"/>
    <col min="10218" max="10467" width="9.28515625" style="756"/>
    <col min="10468" max="10468" width="3" style="756" customWidth="1"/>
    <col min="10469" max="10469" width="9.28515625" style="756" customWidth="1"/>
    <col min="10470" max="10470" width="63.42578125" style="756" customWidth="1"/>
    <col min="10471" max="10471" width="23.7109375" style="756" customWidth="1"/>
    <col min="10472" max="10472" width="19.7109375" style="756" bestFit="1" customWidth="1"/>
    <col min="10473" max="10473" width="13.7109375" style="756" customWidth="1"/>
    <col min="10474" max="10723" width="9.28515625" style="756"/>
    <col min="10724" max="10724" width="3" style="756" customWidth="1"/>
    <col min="10725" max="10725" width="9.28515625" style="756" customWidth="1"/>
    <col min="10726" max="10726" width="63.42578125" style="756" customWidth="1"/>
    <col min="10727" max="10727" width="23.7109375" style="756" customWidth="1"/>
    <col min="10728" max="10728" width="19.7109375" style="756" bestFit="1" customWidth="1"/>
    <col min="10729" max="10729" width="13.7109375" style="756" customWidth="1"/>
    <col min="10730" max="10979" width="9.28515625" style="756"/>
    <col min="10980" max="10980" width="3" style="756" customWidth="1"/>
    <col min="10981" max="10981" width="9.28515625" style="756" customWidth="1"/>
    <col min="10982" max="10982" width="63.42578125" style="756" customWidth="1"/>
    <col min="10983" max="10983" width="23.7109375" style="756" customWidth="1"/>
    <col min="10984" max="10984" width="19.7109375" style="756" bestFit="1" customWidth="1"/>
    <col min="10985" max="10985" width="13.7109375" style="756" customWidth="1"/>
    <col min="10986" max="11235" width="9.28515625" style="756"/>
    <col min="11236" max="11236" width="3" style="756" customWidth="1"/>
    <col min="11237" max="11237" width="9.28515625" style="756" customWidth="1"/>
    <col min="11238" max="11238" width="63.42578125" style="756" customWidth="1"/>
    <col min="11239" max="11239" width="23.7109375" style="756" customWidth="1"/>
    <col min="11240" max="11240" width="19.7109375" style="756" bestFit="1" customWidth="1"/>
    <col min="11241" max="11241" width="13.7109375" style="756" customWidth="1"/>
    <col min="11242" max="11491" width="9.28515625" style="756"/>
    <col min="11492" max="11492" width="3" style="756" customWidth="1"/>
    <col min="11493" max="11493" width="9.28515625" style="756" customWidth="1"/>
    <col min="11494" max="11494" width="63.42578125" style="756" customWidth="1"/>
    <col min="11495" max="11495" width="23.7109375" style="756" customWidth="1"/>
    <col min="11496" max="11496" width="19.7109375" style="756" bestFit="1" customWidth="1"/>
    <col min="11497" max="11497" width="13.7109375" style="756" customWidth="1"/>
    <col min="11498" max="11747" width="9.28515625" style="756"/>
    <col min="11748" max="11748" width="3" style="756" customWidth="1"/>
    <col min="11749" max="11749" width="9.28515625" style="756" customWidth="1"/>
    <col min="11750" max="11750" width="63.42578125" style="756" customWidth="1"/>
    <col min="11751" max="11751" width="23.7109375" style="756" customWidth="1"/>
    <col min="11752" max="11752" width="19.7109375" style="756" bestFit="1" customWidth="1"/>
    <col min="11753" max="11753" width="13.7109375" style="756" customWidth="1"/>
    <col min="11754" max="12003" width="9.28515625" style="756"/>
    <col min="12004" max="12004" width="3" style="756" customWidth="1"/>
    <col min="12005" max="12005" width="9.28515625" style="756" customWidth="1"/>
    <col min="12006" max="12006" width="63.42578125" style="756" customWidth="1"/>
    <col min="12007" max="12007" width="23.7109375" style="756" customWidth="1"/>
    <col min="12008" max="12008" width="19.7109375" style="756" bestFit="1" customWidth="1"/>
    <col min="12009" max="12009" width="13.7109375" style="756" customWidth="1"/>
    <col min="12010" max="12259" width="9.28515625" style="756"/>
    <col min="12260" max="12260" width="3" style="756" customWidth="1"/>
    <col min="12261" max="12261" width="9.28515625" style="756" customWidth="1"/>
    <col min="12262" max="12262" width="63.42578125" style="756" customWidth="1"/>
    <col min="12263" max="12263" width="23.7109375" style="756" customWidth="1"/>
    <col min="12264" max="12264" width="19.7109375" style="756" bestFit="1" customWidth="1"/>
    <col min="12265" max="12265" width="13.7109375" style="756" customWidth="1"/>
    <col min="12266" max="12515" width="9.28515625" style="756"/>
    <col min="12516" max="12516" width="3" style="756" customWidth="1"/>
    <col min="12517" max="12517" width="9.28515625" style="756" customWidth="1"/>
    <col min="12518" max="12518" width="63.42578125" style="756" customWidth="1"/>
    <col min="12519" max="12519" width="23.7109375" style="756" customWidth="1"/>
    <col min="12520" max="12520" width="19.7109375" style="756" bestFit="1" customWidth="1"/>
    <col min="12521" max="12521" width="13.7109375" style="756" customWidth="1"/>
    <col min="12522" max="12771" width="9.28515625" style="756"/>
    <col min="12772" max="12772" width="3" style="756" customWidth="1"/>
    <col min="12773" max="12773" width="9.28515625" style="756" customWidth="1"/>
    <col min="12774" max="12774" width="63.42578125" style="756" customWidth="1"/>
    <col min="12775" max="12775" width="23.7109375" style="756" customWidth="1"/>
    <col min="12776" max="12776" width="19.7109375" style="756" bestFit="1" customWidth="1"/>
    <col min="12777" max="12777" width="13.7109375" style="756" customWidth="1"/>
    <col min="12778" max="13027" width="9.28515625" style="756"/>
    <col min="13028" max="13028" width="3" style="756" customWidth="1"/>
    <col min="13029" max="13029" width="9.28515625" style="756" customWidth="1"/>
    <col min="13030" max="13030" width="63.42578125" style="756" customWidth="1"/>
    <col min="13031" max="13031" width="23.7109375" style="756" customWidth="1"/>
    <col min="13032" max="13032" width="19.7109375" style="756" bestFit="1" customWidth="1"/>
    <col min="13033" max="13033" width="13.7109375" style="756" customWidth="1"/>
    <col min="13034" max="13283" width="9.28515625" style="756"/>
    <col min="13284" max="13284" width="3" style="756" customWidth="1"/>
    <col min="13285" max="13285" width="9.28515625" style="756" customWidth="1"/>
    <col min="13286" max="13286" width="63.42578125" style="756" customWidth="1"/>
    <col min="13287" max="13287" width="23.7109375" style="756" customWidth="1"/>
    <col min="13288" max="13288" width="19.7109375" style="756" bestFit="1" customWidth="1"/>
    <col min="13289" max="13289" width="13.7109375" style="756" customWidth="1"/>
    <col min="13290" max="13539" width="9.28515625" style="756"/>
    <col min="13540" max="13540" width="3" style="756" customWidth="1"/>
    <col min="13541" max="13541" width="9.28515625" style="756" customWidth="1"/>
    <col min="13542" max="13542" width="63.42578125" style="756" customWidth="1"/>
    <col min="13543" max="13543" width="23.7109375" style="756" customWidth="1"/>
    <col min="13544" max="13544" width="19.7109375" style="756" bestFit="1" customWidth="1"/>
    <col min="13545" max="13545" width="13.7109375" style="756" customWidth="1"/>
    <col min="13546" max="13795" width="9.28515625" style="756"/>
    <col min="13796" max="13796" width="3" style="756" customWidth="1"/>
    <col min="13797" max="13797" width="9.28515625" style="756" customWidth="1"/>
    <col min="13798" max="13798" width="63.42578125" style="756" customWidth="1"/>
    <col min="13799" max="13799" width="23.7109375" style="756" customWidth="1"/>
    <col min="13800" max="13800" width="19.7109375" style="756" bestFit="1" customWidth="1"/>
    <col min="13801" max="13801" width="13.7109375" style="756" customWidth="1"/>
    <col min="13802" max="14051" width="9.28515625" style="756"/>
    <col min="14052" max="14052" width="3" style="756" customWidth="1"/>
    <col min="14053" max="14053" width="9.28515625" style="756" customWidth="1"/>
    <col min="14054" max="14054" width="63.42578125" style="756" customWidth="1"/>
    <col min="14055" max="14055" width="23.7109375" style="756" customWidth="1"/>
    <col min="14056" max="14056" width="19.7109375" style="756" bestFit="1" customWidth="1"/>
    <col min="14057" max="14057" width="13.7109375" style="756" customWidth="1"/>
    <col min="14058" max="14307" width="9.28515625" style="756"/>
    <col min="14308" max="14308" width="3" style="756" customWidth="1"/>
    <col min="14309" max="14309" width="9.28515625" style="756" customWidth="1"/>
    <col min="14310" max="14310" width="63.42578125" style="756" customWidth="1"/>
    <col min="14311" max="14311" width="23.7109375" style="756" customWidth="1"/>
    <col min="14312" max="14312" width="19.7109375" style="756" bestFit="1" customWidth="1"/>
    <col min="14313" max="14313" width="13.7109375" style="756" customWidth="1"/>
    <col min="14314" max="14563" width="9.28515625" style="756"/>
    <col min="14564" max="14564" width="3" style="756" customWidth="1"/>
    <col min="14565" max="14565" width="9.28515625" style="756" customWidth="1"/>
    <col min="14566" max="14566" width="63.42578125" style="756" customWidth="1"/>
    <col min="14567" max="14567" width="23.7109375" style="756" customWidth="1"/>
    <col min="14568" max="14568" width="19.7109375" style="756" bestFit="1" customWidth="1"/>
    <col min="14569" max="14569" width="13.7109375" style="756" customWidth="1"/>
    <col min="14570" max="14819" width="9.28515625" style="756"/>
    <col min="14820" max="14820" width="3" style="756" customWidth="1"/>
    <col min="14821" max="14821" width="9.28515625" style="756" customWidth="1"/>
    <col min="14822" max="14822" width="63.42578125" style="756" customWidth="1"/>
    <col min="14823" max="14823" width="23.7109375" style="756" customWidth="1"/>
    <col min="14824" max="14824" width="19.7109375" style="756" bestFit="1" customWidth="1"/>
    <col min="14825" max="14825" width="13.7109375" style="756" customWidth="1"/>
    <col min="14826" max="15075" width="9.28515625" style="756"/>
    <col min="15076" max="15076" width="3" style="756" customWidth="1"/>
    <col min="15077" max="15077" width="9.28515625" style="756" customWidth="1"/>
    <col min="15078" max="15078" width="63.42578125" style="756" customWidth="1"/>
    <col min="15079" max="15079" width="23.7109375" style="756" customWidth="1"/>
    <col min="15080" max="15080" width="19.7109375" style="756" bestFit="1" customWidth="1"/>
    <col min="15081" max="15081" width="13.7109375" style="756" customWidth="1"/>
    <col min="15082" max="15331" width="9.28515625" style="756"/>
    <col min="15332" max="15332" width="3" style="756" customWidth="1"/>
    <col min="15333" max="15333" width="9.28515625" style="756" customWidth="1"/>
    <col min="15334" max="15334" width="63.42578125" style="756" customWidth="1"/>
    <col min="15335" max="15335" width="23.7109375" style="756" customWidth="1"/>
    <col min="15336" max="15336" width="19.7109375" style="756" bestFit="1" customWidth="1"/>
    <col min="15337" max="15337" width="13.7109375" style="756" customWidth="1"/>
    <col min="15338" max="15587" width="9.28515625" style="756"/>
    <col min="15588" max="15588" width="3" style="756" customWidth="1"/>
    <col min="15589" max="15589" width="9.28515625" style="756" customWidth="1"/>
    <col min="15590" max="15590" width="63.42578125" style="756" customWidth="1"/>
    <col min="15591" max="15591" width="23.7109375" style="756" customWidth="1"/>
    <col min="15592" max="15592" width="19.7109375" style="756" bestFit="1" customWidth="1"/>
    <col min="15593" max="15593" width="13.7109375" style="756" customWidth="1"/>
    <col min="15594" max="15843" width="9.28515625" style="756"/>
    <col min="15844" max="15844" width="3" style="756" customWidth="1"/>
    <col min="15845" max="15845" width="9.28515625" style="756" customWidth="1"/>
    <col min="15846" max="15846" width="63.42578125" style="756" customWidth="1"/>
    <col min="15847" max="15847" width="23.7109375" style="756" customWidth="1"/>
    <col min="15848" max="15848" width="19.7109375" style="756" bestFit="1" customWidth="1"/>
    <col min="15849" max="15849" width="13.7109375" style="756" customWidth="1"/>
    <col min="15850" max="16099" width="9.28515625" style="756"/>
    <col min="16100" max="16100" width="3" style="756" customWidth="1"/>
    <col min="16101" max="16101" width="9.28515625" style="756" customWidth="1"/>
    <col min="16102" max="16102" width="63.42578125" style="756" customWidth="1"/>
    <col min="16103" max="16103" width="23.7109375" style="756" customWidth="1"/>
    <col min="16104" max="16104" width="19.7109375" style="756" bestFit="1" customWidth="1"/>
    <col min="16105" max="16105" width="13.7109375" style="756" customWidth="1"/>
    <col min="16106" max="16384" width="9.28515625" style="756"/>
  </cols>
  <sheetData>
    <row r="1" spans="1:5">
      <c r="C1" s="785" t="s">
        <v>988</v>
      </c>
    </row>
    <row r="2" spans="1:5" s="750" customFormat="1" ht="49.5" customHeight="1">
      <c r="A2" s="748" t="s">
        <v>998</v>
      </c>
      <c r="B2" s="748"/>
      <c r="C2" s="748"/>
      <c r="D2" s="748"/>
      <c r="E2" s="749"/>
    </row>
    <row r="3" spans="1:5" s="750" customFormat="1" ht="16.5">
      <c r="A3" s="751"/>
      <c r="B3" s="752"/>
      <c r="C3" s="1878" t="s">
        <v>963</v>
      </c>
      <c r="D3" s="1878"/>
      <c r="E3" s="749"/>
    </row>
    <row r="4" spans="1:5" ht="24" customHeight="1">
      <c r="A4" s="753" t="s">
        <v>313</v>
      </c>
      <c r="B4" s="753" t="s">
        <v>314</v>
      </c>
      <c r="C4" s="754" t="s">
        <v>964</v>
      </c>
      <c r="D4" s="754" t="s">
        <v>193</v>
      </c>
    </row>
    <row r="5" spans="1:5" s="816" customFormat="1" ht="18.75" customHeight="1">
      <c r="A5" s="813" t="s">
        <v>316</v>
      </c>
      <c r="B5" s="813" t="s">
        <v>317</v>
      </c>
      <c r="C5" s="813">
        <v>1</v>
      </c>
      <c r="D5" s="814"/>
      <c r="E5" s="815"/>
    </row>
    <row r="6" spans="1:5" ht="37.5" customHeight="1">
      <c r="A6" s="757" t="s">
        <v>316</v>
      </c>
      <c r="B6" s="758" t="s">
        <v>965</v>
      </c>
      <c r="C6" s="787">
        <v>18847</v>
      </c>
      <c r="D6" s="759">
        <v>3123</v>
      </c>
    </row>
    <row r="7" spans="1:5" ht="35.25" customHeight="1">
      <c r="A7" s="760" t="s">
        <v>117</v>
      </c>
      <c r="B7" s="761" t="s">
        <v>966</v>
      </c>
      <c r="C7" s="787">
        <f>SUM(C8:C11)</f>
        <v>4000</v>
      </c>
      <c r="D7" s="762">
        <f>SUM(D8:D11)</f>
        <v>0</v>
      </c>
    </row>
    <row r="8" spans="1:5" ht="19.5" customHeight="1">
      <c r="A8" s="581">
        <v>1</v>
      </c>
      <c r="B8" s="763" t="s">
        <v>68</v>
      </c>
      <c r="C8" s="788">
        <v>4000</v>
      </c>
      <c r="D8" s="764"/>
    </row>
    <row r="9" spans="1:5" ht="19.5" customHeight="1">
      <c r="A9" s="581">
        <v>2</v>
      </c>
      <c r="B9" s="763" t="s">
        <v>967</v>
      </c>
      <c r="C9" s="788"/>
      <c r="D9" s="764"/>
    </row>
    <row r="10" spans="1:5" ht="19.5" customHeight="1">
      <c r="A10" s="581">
        <v>3</v>
      </c>
      <c r="B10" s="763" t="s">
        <v>968</v>
      </c>
      <c r="C10" s="788"/>
      <c r="D10" s="764"/>
    </row>
    <row r="11" spans="1:5" ht="19.5" customHeight="1">
      <c r="A11" s="581">
        <v>4</v>
      </c>
      <c r="B11" s="765" t="s">
        <v>969</v>
      </c>
      <c r="C11" s="788"/>
      <c r="D11" s="764"/>
    </row>
    <row r="12" spans="1:5" ht="29.25" customHeight="1">
      <c r="A12" s="766" t="s">
        <v>117</v>
      </c>
      <c r="B12" s="786" t="s">
        <v>970</v>
      </c>
      <c r="C12" s="789">
        <f>C6-C7</f>
        <v>14847</v>
      </c>
      <c r="D12" s="767">
        <f>D6-D7</f>
        <v>3123</v>
      </c>
    </row>
    <row r="13" spans="1:5" ht="24" customHeight="1">
      <c r="A13" s="768" t="s">
        <v>317</v>
      </c>
      <c r="B13" s="385" t="s">
        <v>971</v>
      </c>
      <c r="C13" s="789">
        <f>SUM(C14:C16)</f>
        <v>22791.570470999999</v>
      </c>
      <c r="D13" s="769">
        <f>SUM(D14:D16)</f>
        <v>4613.6844540000002</v>
      </c>
    </row>
    <row r="14" spans="1:5" ht="24" customHeight="1">
      <c r="A14" s="581" t="s">
        <v>62</v>
      </c>
      <c r="B14" s="770" t="s">
        <v>972</v>
      </c>
      <c r="C14" s="788">
        <v>80.969224999999994</v>
      </c>
      <c r="D14" s="764">
        <v>769.51172699999995</v>
      </c>
    </row>
    <row r="15" spans="1:5" ht="24" customHeight="1">
      <c r="A15" s="581" t="s">
        <v>62</v>
      </c>
      <c r="B15" s="770" t="s">
        <v>973</v>
      </c>
      <c r="C15" s="788">
        <v>189.58640600000001</v>
      </c>
      <c r="D15" s="764"/>
    </row>
    <row r="16" spans="1:5" ht="24" customHeight="1">
      <c r="A16" s="581" t="s">
        <v>62</v>
      </c>
      <c r="B16" s="770" t="s">
        <v>974</v>
      </c>
      <c r="C16" s="788">
        <v>22521.01484</v>
      </c>
      <c r="D16" s="764">
        <v>3844.1727270000001</v>
      </c>
    </row>
    <row r="17" spans="1:4" ht="32.25" customHeight="1">
      <c r="A17" s="766" t="s">
        <v>117</v>
      </c>
      <c r="B17" s="761" t="s">
        <v>966</v>
      </c>
      <c r="C17" s="789">
        <f>SUM(C18:C24)</f>
        <v>7070.3772450000006</v>
      </c>
      <c r="D17" s="767">
        <f>SUM(D18:D24)</f>
        <v>14.4452</v>
      </c>
    </row>
    <row r="18" spans="1:4" ht="19.5" customHeight="1">
      <c r="A18" s="581">
        <v>1</v>
      </c>
      <c r="B18" s="763" t="s">
        <v>68</v>
      </c>
      <c r="C18" s="788">
        <v>6986.2249890000003</v>
      </c>
      <c r="D18" s="764"/>
    </row>
    <row r="19" spans="1:4" ht="19.5" hidden="1" customHeight="1">
      <c r="A19" s="581">
        <v>2</v>
      </c>
      <c r="B19" s="763" t="s">
        <v>967</v>
      </c>
      <c r="C19" s="788"/>
      <c r="D19" s="764"/>
    </row>
    <row r="20" spans="1:4" ht="19.5" hidden="1" customHeight="1">
      <c r="A20" s="581">
        <v>3</v>
      </c>
      <c r="B20" s="404" t="s">
        <v>969</v>
      </c>
      <c r="C20" s="788"/>
      <c r="D20" s="764"/>
    </row>
    <row r="21" spans="1:4" ht="19.5" hidden="1" customHeight="1">
      <c r="A21" s="581">
        <v>4</v>
      </c>
      <c r="B21" s="763" t="s">
        <v>975</v>
      </c>
      <c r="C21" s="788"/>
      <c r="D21" s="764"/>
    </row>
    <row r="22" spans="1:4" ht="19.5" hidden="1" customHeight="1">
      <c r="A22" s="581">
        <v>5</v>
      </c>
      <c r="B22" s="763" t="s">
        <v>968</v>
      </c>
      <c r="C22" s="788"/>
      <c r="D22" s="764"/>
    </row>
    <row r="23" spans="1:4" ht="19.5" hidden="1" customHeight="1">
      <c r="A23" s="581">
        <v>6</v>
      </c>
      <c r="B23" s="763" t="s">
        <v>976</v>
      </c>
      <c r="C23" s="788"/>
      <c r="D23" s="764"/>
    </row>
    <row r="24" spans="1:4" ht="19.5" customHeight="1">
      <c r="A24" s="581">
        <v>2</v>
      </c>
      <c r="B24" s="763" t="s">
        <v>977</v>
      </c>
      <c r="C24" s="788">
        <v>84.152255999999994</v>
      </c>
      <c r="D24" s="764">
        <v>14.4452</v>
      </c>
    </row>
    <row r="25" spans="1:4" ht="45">
      <c r="A25" s="766" t="s">
        <v>117</v>
      </c>
      <c r="B25" s="771" t="s">
        <v>978</v>
      </c>
      <c r="C25" s="789">
        <f>C13-C17</f>
        <v>15721.193225999999</v>
      </c>
      <c r="D25" s="767">
        <f>D13-D17</f>
        <v>4599.2392540000001</v>
      </c>
    </row>
    <row r="26" spans="1:4" ht="66.75" customHeight="1">
      <c r="A26" s="768" t="s">
        <v>246</v>
      </c>
      <c r="B26" s="385" t="s">
        <v>979</v>
      </c>
      <c r="C26" s="789">
        <f>C25-C12</f>
        <v>874.19322599999941</v>
      </c>
      <c r="D26" s="769">
        <f>D25-D12</f>
        <v>1476.2392540000001</v>
      </c>
    </row>
    <row r="27" spans="1:4" ht="18.75" hidden="1">
      <c r="A27" s="772" t="s">
        <v>403</v>
      </c>
      <c r="B27" s="773" t="s">
        <v>980</v>
      </c>
      <c r="C27" s="790"/>
      <c r="D27" s="774"/>
    </row>
    <row r="28" spans="1:4" ht="18.75" hidden="1">
      <c r="A28" s="775"/>
      <c r="B28" s="775" t="s">
        <v>981</v>
      </c>
      <c r="C28" s="791"/>
      <c r="D28" s="776"/>
    </row>
    <row r="29" spans="1:4" ht="25.5" customHeight="1">
      <c r="A29" s="775"/>
      <c r="B29" s="775" t="s">
        <v>982</v>
      </c>
      <c r="C29" s="791">
        <f>+C26</f>
        <v>874.19322599999941</v>
      </c>
      <c r="D29" s="777">
        <f>+D26</f>
        <v>1476.2392540000001</v>
      </c>
    </row>
    <row r="30" spans="1:4" ht="18.75" hidden="1">
      <c r="A30" s="778"/>
      <c r="B30" s="778" t="s">
        <v>983</v>
      </c>
      <c r="C30" s="792">
        <f>+C29*0.7</f>
        <v>611.93525819999957</v>
      </c>
      <c r="D30" s="747">
        <f>+D29*0.7</f>
        <v>1033.3674778</v>
      </c>
    </row>
    <row r="31" spans="1:4" ht="18.75" hidden="1">
      <c r="A31" s="778"/>
      <c r="B31" s="778" t="s">
        <v>984</v>
      </c>
      <c r="C31" s="792">
        <f>+C29*0.3</f>
        <v>262.25796779999979</v>
      </c>
      <c r="D31" s="747">
        <f>+D29*0.3</f>
        <v>442.8717762</v>
      </c>
    </row>
    <row r="32" spans="1:4" ht="18.75" hidden="1">
      <c r="A32" s="778"/>
      <c r="B32" s="778" t="s">
        <v>985</v>
      </c>
      <c r="C32" s="792"/>
    </row>
    <row r="33" spans="1:8" s="27" customFormat="1" ht="18.75" customHeight="1">
      <c r="A33" s="779"/>
      <c r="B33" s="779" t="s">
        <v>986</v>
      </c>
      <c r="C33" s="793">
        <v>612</v>
      </c>
      <c r="D33" s="780"/>
      <c r="E33" s="781"/>
    </row>
    <row r="34" spans="1:8" s="27" customFormat="1" ht="18.75" customHeight="1">
      <c r="A34" s="779"/>
      <c r="B34" s="779" t="s">
        <v>987</v>
      </c>
      <c r="C34" s="793">
        <f>+C29-C33</f>
        <v>262.19322599999941</v>
      </c>
      <c r="D34" s="780"/>
      <c r="E34" s="781"/>
    </row>
    <row r="35" spans="1:8" ht="6.75" customHeight="1"/>
    <row r="36" spans="1:8" s="204" customFormat="1" ht="15.75" customHeight="1">
      <c r="A36" s="396"/>
      <c r="B36" s="28"/>
      <c r="C36" s="401" t="s">
        <v>741</v>
      </c>
      <c r="D36" s="386"/>
      <c r="E36" s="386"/>
      <c r="F36" s="386"/>
      <c r="G36" s="782"/>
    </row>
    <row r="37" spans="1:8" s="46" customFormat="1" ht="18.75" customHeight="1">
      <c r="A37" s="1670" t="s">
        <v>406</v>
      </c>
      <c r="B37" s="1670"/>
      <c r="C37" s="402" t="s">
        <v>580</v>
      </c>
      <c r="D37" s="403"/>
      <c r="E37" s="403"/>
      <c r="F37" s="403"/>
      <c r="G37" s="783"/>
    </row>
    <row r="38" spans="1:8" s="46" customFormat="1" ht="15.75" customHeight="1">
      <c r="A38" s="1667" t="s">
        <v>407</v>
      </c>
      <c r="B38" s="1667"/>
      <c r="C38" s="401" t="s">
        <v>151</v>
      </c>
      <c r="D38" s="386"/>
      <c r="E38" s="386"/>
      <c r="F38" s="386"/>
      <c r="G38" s="784"/>
      <c r="H38" s="784"/>
    </row>
    <row r="39" spans="1:8" s="46" customFormat="1">
      <c r="A39" s="28"/>
      <c r="B39" s="28"/>
      <c r="C39" s="211"/>
      <c r="D39" s="28"/>
      <c r="E39" s="28"/>
    </row>
    <row r="40" spans="1:8" s="46" customFormat="1">
      <c r="A40" s="28"/>
      <c r="B40" s="28"/>
      <c r="C40" s="211"/>
      <c r="D40" s="28"/>
      <c r="E40" s="28"/>
    </row>
    <row r="41" spans="1:8" s="46" customFormat="1">
      <c r="A41" s="28"/>
      <c r="B41" s="28"/>
      <c r="C41" s="211"/>
      <c r="D41" s="28"/>
      <c r="E41" s="28"/>
    </row>
    <row r="42" spans="1:8" s="46" customFormat="1" ht="30" customHeight="1">
      <c r="A42" s="28"/>
      <c r="B42" s="28"/>
      <c r="C42" s="211"/>
      <c r="D42" s="28"/>
      <c r="E42" s="28"/>
    </row>
    <row r="43" spans="1:8" s="46" customFormat="1">
      <c r="A43" s="28"/>
      <c r="B43" s="28"/>
      <c r="C43" s="211"/>
      <c r="D43" s="28"/>
      <c r="E43" s="28"/>
    </row>
    <row r="44" spans="1:8" s="46" customFormat="1">
      <c r="A44" s="28"/>
      <c r="B44" s="28"/>
      <c r="C44" s="211"/>
      <c r="D44" s="28"/>
      <c r="E44" s="28"/>
    </row>
    <row r="45" spans="1:8" s="46" customFormat="1" ht="18.75">
      <c r="A45" s="1717" t="s">
        <v>513</v>
      </c>
      <c r="B45" s="1717"/>
      <c r="C45" s="400" t="s">
        <v>553</v>
      </c>
      <c r="D45" s="212"/>
      <c r="E45" s="212"/>
      <c r="F45" s="212"/>
    </row>
  </sheetData>
  <mergeCells count="4">
    <mergeCell ref="A45:B45"/>
    <mergeCell ref="C3:D3"/>
    <mergeCell ref="A37:B37"/>
    <mergeCell ref="A38:B38"/>
  </mergeCells>
  <pageMargins left="0.7" right="0.2" top="0.33" bottom="0.24" header="0.3" footer="0.2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41"/>
  <sheetViews>
    <sheetView topLeftCell="A16" zoomScaleNormal="100" workbookViewId="0">
      <selection activeCell="C7" sqref="C7"/>
    </sheetView>
  </sheetViews>
  <sheetFormatPr defaultColWidth="9.28515625" defaultRowHeight="12.75"/>
  <cols>
    <col min="1" max="1" width="5" style="22" customWidth="1"/>
    <col min="2" max="2" width="15.85546875" style="22" customWidth="1"/>
    <col min="3" max="3" width="75.28515625" style="22" customWidth="1"/>
    <col min="4" max="4" width="5.5703125" style="22" hidden="1" customWidth="1"/>
    <col min="5" max="16384" width="9.28515625" style="22"/>
  </cols>
  <sheetData>
    <row r="1" spans="1:4" ht="26.25" customHeight="1">
      <c r="A1" s="1662" t="s">
        <v>353</v>
      </c>
      <c r="B1" s="1662"/>
      <c r="C1" s="1662"/>
    </row>
    <row r="2" spans="1:4" ht="30" customHeight="1">
      <c r="A2" s="1662" t="s">
        <v>1081</v>
      </c>
      <c r="B2" s="1662"/>
      <c r="C2" s="1662"/>
    </row>
    <row r="4" spans="1:4" ht="39.75" customHeight="1">
      <c r="A4" s="794" t="s">
        <v>313</v>
      </c>
      <c r="B4" s="794" t="s">
        <v>545</v>
      </c>
      <c r="C4" s="794" t="s">
        <v>314</v>
      </c>
      <c r="D4" s="48" t="s">
        <v>546</v>
      </c>
    </row>
    <row r="5" spans="1:4" ht="23.25" customHeight="1">
      <c r="A5" s="1227">
        <v>1</v>
      </c>
      <c r="B5" s="1228" t="s">
        <v>1080</v>
      </c>
      <c r="C5" s="1229" t="s">
        <v>1101</v>
      </c>
      <c r="D5" s="23">
        <v>15</v>
      </c>
    </row>
    <row r="6" spans="1:4" ht="23.25" customHeight="1">
      <c r="A6" s="1227">
        <v>2</v>
      </c>
      <c r="B6" s="1228" t="s">
        <v>1093</v>
      </c>
      <c r="C6" s="1229" t="s">
        <v>1102</v>
      </c>
      <c r="D6" s="23">
        <v>16</v>
      </c>
    </row>
    <row r="7" spans="1:4" ht="23.25" customHeight="1">
      <c r="A7" s="1227">
        <v>3</v>
      </c>
      <c r="B7" s="1228" t="s">
        <v>1103</v>
      </c>
      <c r="C7" s="1229" t="s">
        <v>1104</v>
      </c>
      <c r="D7" s="23">
        <v>17</v>
      </c>
    </row>
    <row r="8" spans="1:4" s="411" customFormat="1" ht="23.25" customHeight="1">
      <c r="A8" s="1230">
        <v>4</v>
      </c>
      <c r="B8" s="1231" t="s">
        <v>1106</v>
      </c>
      <c r="C8" s="1232" t="s">
        <v>1107</v>
      </c>
      <c r="D8" s="1224">
        <v>19</v>
      </c>
    </row>
    <row r="9" spans="1:4" s="1216" customFormat="1" ht="23.25" customHeight="1">
      <c r="A9" s="1225">
        <v>5</v>
      </c>
      <c r="B9" s="1225" t="s">
        <v>519</v>
      </c>
      <c r="C9" s="1226" t="s">
        <v>1052</v>
      </c>
      <c r="D9" s="1214">
        <v>22</v>
      </c>
    </row>
    <row r="10" spans="1:4" s="1216" customFormat="1" ht="23.25" customHeight="1">
      <c r="A10" s="1214">
        <v>6</v>
      </c>
      <c r="B10" s="1217" t="s">
        <v>1091</v>
      </c>
      <c r="C10" s="1215" t="s">
        <v>1053</v>
      </c>
      <c r="D10" s="1214">
        <v>24</v>
      </c>
    </row>
    <row r="11" spans="1:4" s="1216" customFormat="1" ht="23.25" customHeight="1">
      <c r="A11" s="1214">
        <v>7</v>
      </c>
      <c r="B11" s="1214" t="s">
        <v>520</v>
      </c>
      <c r="C11" s="1215" t="s">
        <v>1054</v>
      </c>
      <c r="D11" s="1214">
        <v>30</v>
      </c>
    </row>
    <row r="12" spans="1:4" s="1216" customFormat="1" ht="36" customHeight="1">
      <c r="A12" s="1214">
        <v>8</v>
      </c>
      <c r="B12" s="1214" t="s">
        <v>521</v>
      </c>
      <c r="C12" s="1215" t="s">
        <v>1055</v>
      </c>
      <c r="D12" s="1214">
        <v>33</v>
      </c>
    </row>
    <row r="13" spans="1:4" s="1216" customFormat="1" ht="36" customHeight="1">
      <c r="A13" s="1214">
        <v>9</v>
      </c>
      <c r="B13" s="1214" t="s">
        <v>522</v>
      </c>
      <c r="C13" s="1215" t="s">
        <v>1056</v>
      </c>
      <c r="D13" s="1214">
        <v>34</v>
      </c>
    </row>
    <row r="14" spans="1:4" s="1220" customFormat="1" ht="36" customHeight="1">
      <c r="A14" s="1214">
        <v>10</v>
      </c>
      <c r="B14" s="1218" t="s">
        <v>523</v>
      </c>
      <c r="C14" s="1219" t="s">
        <v>1057</v>
      </c>
      <c r="D14" s="1218">
        <v>37</v>
      </c>
    </row>
    <row r="15" spans="1:4" s="1220" customFormat="1" ht="22.5" customHeight="1">
      <c r="A15" s="1214">
        <v>11</v>
      </c>
      <c r="B15" s="1218" t="s">
        <v>524</v>
      </c>
      <c r="C15" s="1219" t="s">
        <v>1058</v>
      </c>
      <c r="D15" s="1218">
        <v>39</v>
      </c>
    </row>
    <row r="16" spans="1:4" s="1220" customFormat="1" ht="22.5" customHeight="1">
      <c r="A16" s="1214">
        <v>12</v>
      </c>
      <c r="B16" s="1218" t="s">
        <v>525</v>
      </c>
      <c r="C16" s="1219" t="s">
        <v>989</v>
      </c>
      <c r="D16" s="1218">
        <v>41</v>
      </c>
    </row>
    <row r="17" spans="1:4" s="1220" customFormat="1" ht="22.5" customHeight="1">
      <c r="A17" s="1214">
        <v>13</v>
      </c>
      <c r="B17" s="1218" t="s">
        <v>518</v>
      </c>
      <c r="C17" s="1219" t="s">
        <v>1078</v>
      </c>
      <c r="D17" s="1218">
        <v>42</v>
      </c>
    </row>
    <row r="18" spans="1:4" s="1220" customFormat="1" ht="22.5" customHeight="1">
      <c r="A18" s="1214">
        <v>14</v>
      </c>
      <c r="B18" s="1218" t="s">
        <v>526</v>
      </c>
      <c r="C18" s="1219" t="s">
        <v>1077</v>
      </c>
      <c r="D18" s="1218">
        <v>44</v>
      </c>
    </row>
    <row r="19" spans="1:4" s="1220" customFormat="1" ht="22.5" customHeight="1">
      <c r="A19" s="1214">
        <v>15</v>
      </c>
      <c r="B19" s="1218" t="s">
        <v>668</v>
      </c>
      <c r="C19" s="1219" t="s">
        <v>1076</v>
      </c>
      <c r="D19" s="1218"/>
    </row>
    <row r="20" spans="1:4" s="1220" customFormat="1" ht="22.5" customHeight="1">
      <c r="A20" s="1214">
        <v>16</v>
      </c>
      <c r="B20" s="1218" t="s">
        <v>544</v>
      </c>
      <c r="C20" s="1221" t="s">
        <v>1075</v>
      </c>
      <c r="D20" s="1218">
        <v>65</v>
      </c>
    </row>
    <row r="21" spans="1:4" s="1220" customFormat="1" ht="22.5" customHeight="1">
      <c r="A21" s="1214">
        <v>17</v>
      </c>
      <c r="B21" s="1218" t="s">
        <v>219</v>
      </c>
      <c r="C21" s="1219" t="s">
        <v>1074</v>
      </c>
      <c r="D21" s="1218">
        <v>66</v>
      </c>
    </row>
    <row r="22" spans="1:4" s="1220" customFormat="1" ht="22.5" customHeight="1">
      <c r="A22" s="1214">
        <v>18</v>
      </c>
      <c r="B22" s="1218" t="s">
        <v>220</v>
      </c>
      <c r="C22" s="1219" t="s">
        <v>1073</v>
      </c>
      <c r="D22" s="1218">
        <v>67</v>
      </c>
    </row>
    <row r="23" spans="1:4" s="1220" customFormat="1" ht="22.5" customHeight="1">
      <c r="A23" s="1214">
        <v>19</v>
      </c>
      <c r="B23" s="1218" t="s">
        <v>89</v>
      </c>
      <c r="C23" s="1221" t="s">
        <v>1072</v>
      </c>
      <c r="D23" s="1218">
        <v>68</v>
      </c>
    </row>
    <row r="24" spans="1:4" s="1216" customFormat="1" ht="22.5" customHeight="1">
      <c r="A24" s="1214">
        <v>20</v>
      </c>
      <c r="B24" s="1218" t="s">
        <v>299</v>
      </c>
      <c r="C24" s="1221" t="s">
        <v>1071</v>
      </c>
      <c r="D24" s="1214">
        <v>72</v>
      </c>
    </row>
    <row r="25" spans="1:4" s="1216" customFormat="1" ht="22.5" customHeight="1">
      <c r="A25" s="1214">
        <v>21</v>
      </c>
      <c r="B25" s="1218" t="s">
        <v>527</v>
      </c>
      <c r="C25" s="1222" t="s">
        <v>1070</v>
      </c>
      <c r="D25" s="1214">
        <v>75</v>
      </c>
    </row>
    <row r="26" spans="1:4" s="1216" customFormat="1" ht="22.5" customHeight="1">
      <c r="A26" s="1214">
        <v>22</v>
      </c>
      <c r="B26" s="1218" t="s">
        <v>221</v>
      </c>
      <c r="C26" s="1222" t="s">
        <v>1069</v>
      </c>
      <c r="D26" s="1214">
        <v>87</v>
      </c>
    </row>
    <row r="27" spans="1:4" s="1216" customFormat="1" ht="22.5" customHeight="1">
      <c r="A27" s="1214">
        <v>23</v>
      </c>
      <c r="B27" s="1218" t="s">
        <v>528</v>
      </c>
      <c r="C27" s="1222" t="s">
        <v>1068</v>
      </c>
      <c r="D27" s="1214">
        <v>152</v>
      </c>
    </row>
    <row r="28" spans="1:4" s="1216" customFormat="1" ht="22.5" customHeight="1">
      <c r="A28" s="1214">
        <v>24</v>
      </c>
      <c r="B28" s="1218" t="s">
        <v>222</v>
      </c>
      <c r="C28" s="1222" t="s">
        <v>1067</v>
      </c>
      <c r="D28" s="1214">
        <v>159</v>
      </c>
    </row>
    <row r="29" spans="1:4" s="1216" customFormat="1" ht="33" customHeight="1">
      <c r="A29" s="1214">
        <v>25</v>
      </c>
      <c r="B29" s="1218" t="s">
        <v>223</v>
      </c>
      <c r="C29" s="1222" t="s">
        <v>1066</v>
      </c>
      <c r="D29" s="1214">
        <v>160</v>
      </c>
    </row>
    <row r="30" spans="1:4" s="1216" customFormat="1" ht="24" customHeight="1">
      <c r="A30" s="1214">
        <v>26</v>
      </c>
      <c r="B30" s="1218" t="s">
        <v>529</v>
      </c>
      <c r="C30" s="1215" t="s">
        <v>1065</v>
      </c>
      <c r="D30" s="1214">
        <v>161</v>
      </c>
    </row>
    <row r="31" spans="1:4" s="1216" customFormat="1" ht="24" customHeight="1">
      <c r="A31" s="1214">
        <v>27</v>
      </c>
      <c r="B31" s="1218" t="s">
        <v>224</v>
      </c>
      <c r="C31" s="1222" t="s">
        <v>1064</v>
      </c>
      <c r="D31" s="1214">
        <v>162</v>
      </c>
    </row>
    <row r="32" spans="1:4" s="1216" customFormat="1" ht="24" customHeight="1">
      <c r="A32" s="1214">
        <v>28</v>
      </c>
      <c r="B32" s="1218" t="s">
        <v>225</v>
      </c>
      <c r="C32" s="1215" t="s">
        <v>1063</v>
      </c>
      <c r="D32" s="1223">
        <v>164</v>
      </c>
    </row>
    <row r="33" spans="1:4" s="1216" customFormat="1" ht="24" customHeight="1">
      <c r="A33" s="1214">
        <v>29</v>
      </c>
      <c r="B33" s="1218" t="s">
        <v>86</v>
      </c>
      <c r="C33" s="1215" t="s">
        <v>1062</v>
      </c>
      <c r="D33" s="1223">
        <v>172</v>
      </c>
    </row>
    <row r="34" spans="1:4" s="1216" customFormat="1" ht="24" hidden="1" customHeight="1">
      <c r="A34" s="1214">
        <v>30</v>
      </c>
      <c r="B34" s="1218" t="s">
        <v>990</v>
      </c>
      <c r="C34" s="1215" t="s">
        <v>1061</v>
      </c>
    </row>
    <row r="35" spans="1:4" s="1216" customFormat="1" ht="24" hidden="1" customHeight="1">
      <c r="A35" s="1214">
        <v>31</v>
      </c>
      <c r="B35" s="1218" t="s">
        <v>991</v>
      </c>
      <c r="C35" s="1215" t="s">
        <v>996</v>
      </c>
    </row>
    <row r="36" spans="1:4" s="1216" customFormat="1" ht="24" hidden="1" customHeight="1">
      <c r="A36" s="1214">
        <v>32</v>
      </c>
      <c r="B36" s="1218" t="s">
        <v>992</v>
      </c>
      <c r="C36" s="1214" t="s">
        <v>1060</v>
      </c>
    </row>
    <row r="37" spans="1:4" s="1216" customFormat="1" ht="32.25" hidden="1" customHeight="1">
      <c r="A37" s="1214">
        <v>33</v>
      </c>
      <c r="B37" s="1218" t="s">
        <v>993</v>
      </c>
      <c r="C37" s="1215" t="s">
        <v>1059</v>
      </c>
    </row>
    <row r="38" spans="1:4" s="1216" customFormat="1" ht="22.5" hidden="1" customHeight="1">
      <c r="A38" s="1214">
        <v>34</v>
      </c>
      <c r="B38" s="1218" t="s">
        <v>994</v>
      </c>
      <c r="C38" s="1214" t="s">
        <v>1051</v>
      </c>
    </row>
    <row r="39" spans="1:4" s="1216" customFormat="1" ht="22.5" hidden="1" customHeight="1">
      <c r="A39" s="1214">
        <v>35</v>
      </c>
      <c r="B39" s="1218" t="s">
        <v>995</v>
      </c>
      <c r="C39" s="1214" t="s">
        <v>1050</v>
      </c>
    </row>
    <row r="40" spans="1:4" s="1216" customFormat="1" ht="22.5" customHeight="1">
      <c r="A40" s="1214">
        <v>30</v>
      </c>
      <c r="B40" s="1218"/>
      <c r="C40" s="1215" t="s">
        <v>1049</v>
      </c>
    </row>
    <row r="41" spans="1:4" ht="30.75" hidden="1" customHeight="1">
      <c r="A41" s="47">
        <v>37</v>
      </c>
      <c r="B41" s="47"/>
      <c r="C41" s="157"/>
    </row>
  </sheetData>
  <mergeCells count="2">
    <mergeCell ref="A1:C1"/>
    <mergeCell ref="A2:C2"/>
  </mergeCells>
  <phoneticPr fontId="32" type="noConversion"/>
  <pageMargins left="0.87" right="0.2" top="0.47" bottom="0.25" header="0.41" footer="0.23"/>
  <pageSetup paperSize="9" scale="95"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G40"/>
  <sheetViews>
    <sheetView zoomScale="130" zoomScaleNormal="130" workbookViewId="0">
      <pane ySplit="6" topLeftCell="A36" activePane="bottomLeft" state="frozen"/>
      <selection pane="bottomLeft" activeCell="G24" sqref="G24"/>
    </sheetView>
  </sheetViews>
  <sheetFormatPr defaultColWidth="9.28515625" defaultRowHeight="15"/>
  <cols>
    <col min="1" max="1" width="6.28515625" style="28" customWidth="1"/>
    <col min="2" max="2" width="30.28515625" style="28" customWidth="1"/>
    <col min="3" max="3" width="15.28515625" style="58" customWidth="1"/>
    <col min="4" max="4" width="16" style="58" customWidth="1"/>
    <col min="5" max="5" width="15.42578125" style="28" customWidth="1"/>
    <col min="6" max="6" width="9" style="28" customWidth="1"/>
    <col min="7" max="7" width="17.5703125" style="28" customWidth="1"/>
    <col min="8" max="16384" width="9.28515625" style="28"/>
  </cols>
  <sheetData>
    <row r="1" spans="1:7" ht="21.75" customHeight="1">
      <c r="A1" s="27" t="s">
        <v>720</v>
      </c>
      <c r="E1" s="1663" t="s">
        <v>1080</v>
      </c>
      <c r="F1" s="1663"/>
    </row>
    <row r="2" spans="1:7" ht="24" customHeight="1">
      <c r="A2" s="1664" t="s">
        <v>1079</v>
      </c>
      <c r="B2" s="1664"/>
      <c r="C2" s="1664"/>
      <c r="D2" s="1664"/>
      <c r="E2" s="1664"/>
      <c r="F2" s="1664"/>
    </row>
    <row r="3" spans="1:7" ht="24" customHeight="1">
      <c r="A3" s="1667" t="s">
        <v>1392</v>
      </c>
      <c r="B3" s="1667"/>
      <c r="C3" s="1667"/>
      <c r="D3" s="1667"/>
      <c r="E3" s="1667"/>
      <c r="F3" s="1667"/>
    </row>
    <row r="4" spans="1:7" ht="15.75">
      <c r="F4" s="87" t="s">
        <v>312</v>
      </c>
    </row>
    <row r="5" spans="1:7" ht="15.75">
      <c r="A5" s="1665" t="s">
        <v>313</v>
      </c>
      <c r="B5" s="1665" t="s">
        <v>314</v>
      </c>
      <c r="C5" s="1666" t="s">
        <v>315</v>
      </c>
      <c r="D5" s="1666" t="s">
        <v>146</v>
      </c>
      <c r="E5" s="1665" t="s">
        <v>147</v>
      </c>
      <c r="F5" s="1665"/>
    </row>
    <row r="6" spans="1:7" ht="31.5">
      <c r="A6" s="1665"/>
      <c r="B6" s="1665"/>
      <c r="C6" s="1666"/>
      <c r="D6" s="1666"/>
      <c r="E6" s="86" t="s">
        <v>148</v>
      </c>
      <c r="F6" s="86" t="s">
        <v>198</v>
      </c>
    </row>
    <row r="7" spans="1:7" s="84" customFormat="1" ht="17.25" customHeight="1">
      <c r="A7" s="1049" t="s">
        <v>316</v>
      </c>
      <c r="B7" s="1049" t="s">
        <v>317</v>
      </c>
      <c r="C7" s="1049">
        <v>1</v>
      </c>
      <c r="D7" s="1049">
        <v>2</v>
      </c>
      <c r="E7" s="1049" t="s">
        <v>217</v>
      </c>
      <c r="F7" s="1049" t="s">
        <v>199</v>
      </c>
    </row>
    <row r="8" spans="1:7" s="207" customFormat="1" ht="20.25" customHeight="1">
      <c r="A8" s="1163" t="s">
        <v>316</v>
      </c>
      <c r="B8" s="1164" t="s">
        <v>200</v>
      </c>
      <c r="C8" s="1165">
        <f>C9+C12+C15+C16+C17</f>
        <v>116334.72899999999</v>
      </c>
      <c r="D8" s="1166">
        <f>D9+D12+D15+D16+D17</f>
        <v>138250.39191300003</v>
      </c>
      <c r="E8" s="1167">
        <f>D8-C8</f>
        <v>21915.662913000036</v>
      </c>
      <c r="F8" s="1168">
        <f t="shared" ref="F8:F12" si="0">D8/C8*100</f>
        <v>118.83845271432234</v>
      </c>
      <c r="G8" s="1051"/>
    </row>
    <row r="9" spans="1:7" s="207" customFormat="1" ht="30" customHeight="1">
      <c r="A9" s="1163" t="s">
        <v>318</v>
      </c>
      <c r="B9" s="1164" t="s">
        <v>402</v>
      </c>
      <c r="C9" s="1165">
        <f>SUM(C10:C11)</f>
        <v>0</v>
      </c>
      <c r="D9" s="1166">
        <f>SUM(D10:D11)</f>
        <v>11</v>
      </c>
      <c r="E9" s="1167">
        <f t="shared" ref="E9:E30" si="1">D9-C9</f>
        <v>11</v>
      </c>
      <c r="F9" s="1168"/>
      <c r="G9" s="1050"/>
    </row>
    <row r="10" spans="1:7" s="31" customFormat="1" ht="20.25" customHeight="1">
      <c r="A10" s="1169" t="s">
        <v>73</v>
      </c>
      <c r="B10" s="1170" t="s">
        <v>201</v>
      </c>
      <c r="C10" s="1171">
        <v>0</v>
      </c>
      <c r="D10" s="1172">
        <v>11</v>
      </c>
      <c r="E10" s="1173">
        <f t="shared" si="1"/>
        <v>11</v>
      </c>
      <c r="F10" s="1174"/>
    </row>
    <row r="11" spans="1:7" s="31" customFormat="1" ht="30" customHeight="1">
      <c r="A11" s="1169" t="s">
        <v>73</v>
      </c>
      <c r="B11" s="1175" t="s">
        <v>493</v>
      </c>
      <c r="C11" s="1171">
        <v>0</v>
      </c>
      <c r="D11" s="1172"/>
      <c r="E11" s="1173">
        <f t="shared" si="1"/>
        <v>0</v>
      </c>
      <c r="F11" s="1174"/>
    </row>
    <row r="12" spans="1:7" s="207" customFormat="1" ht="18.75" customHeight="1">
      <c r="A12" s="1163" t="s">
        <v>149</v>
      </c>
      <c r="B12" s="1164" t="s">
        <v>494</v>
      </c>
      <c r="C12" s="1165">
        <f>C13+C14</f>
        <v>102092</v>
      </c>
      <c r="D12" s="1166">
        <f>D13+D14</f>
        <v>128479.17479300001</v>
      </c>
      <c r="E12" s="1167">
        <f t="shared" si="1"/>
        <v>26387.174793000013</v>
      </c>
      <c r="F12" s="1168">
        <f t="shared" si="0"/>
        <v>125.84646670943856</v>
      </c>
      <c r="G12" s="1051"/>
    </row>
    <row r="13" spans="1:7" s="31" customFormat="1" ht="18.75" customHeight="1">
      <c r="A13" s="1169">
        <v>1</v>
      </c>
      <c r="B13" s="1170" t="s">
        <v>395</v>
      </c>
      <c r="C13" s="1171">
        <v>58637</v>
      </c>
      <c r="D13" s="1172">
        <v>79223.293713000006</v>
      </c>
      <c r="E13" s="1173">
        <f t="shared" si="1"/>
        <v>20586.293713000006</v>
      </c>
      <c r="F13" s="1174">
        <f>D13/C13*100</f>
        <v>135.10802686528984</v>
      </c>
      <c r="G13" s="1158"/>
    </row>
    <row r="14" spans="1:7" s="31" customFormat="1" ht="18.75" customHeight="1">
      <c r="A14" s="1169">
        <v>2</v>
      </c>
      <c r="B14" s="1170" t="s">
        <v>396</v>
      </c>
      <c r="C14" s="1171">
        <v>43455</v>
      </c>
      <c r="D14" s="1172">
        <v>49255.881079999999</v>
      </c>
      <c r="E14" s="1173">
        <f t="shared" si="1"/>
        <v>5800.8810799999992</v>
      </c>
      <c r="F14" s="1174">
        <f>D14/C14*100</f>
        <v>113.34916828903462</v>
      </c>
    </row>
    <row r="15" spans="1:7" s="207" customFormat="1" ht="18.75" customHeight="1">
      <c r="A15" s="1163" t="s">
        <v>64</v>
      </c>
      <c r="B15" s="1164" t="s">
        <v>465</v>
      </c>
      <c r="C15" s="1165"/>
      <c r="D15" s="1166"/>
      <c r="E15" s="1167">
        <f t="shared" si="1"/>
        <v>0</v>
      </c>
      <c r="F15" s="1168"/>
      <c r="G15" s="1157"/>
    </row>
    <row r="16" spans="1:7" s="207" customFormat="1" ht="18.75" customHeight="1">
      <c r="A16" s="1163" t="s">
        <v>69</v>
      </c>
      <c r="B16" s="1164" t="s">
        <v>397</v>
      </c>
      <c r="C16" s="1165">
        <v>225.5</v>
      </c>
      <c r="D16" s="1166">
        <v>222.432593</v>
      </c>
      <c r="E16" s="1167">
        <f>D16-C16</f>
        <v>-3.0674070000000029</v>
      </c>
      <c r="F16" s="1168"/>
    </row>
    <row r="17" spans="1:6" s="207" customFormat="1" ht="28.5" customHeight="1">
      <c r="A17" s="1163" t="s">
        <v>251</v>
      </c>
      <c r="B17" s="1176" t="s">
        <v>398</v>
      </c>
      <c r="C17" s="1165">
        <v>14017.228999999999</v>
      </c>
      <c r="D17" s="1166">
        <v>9537.7845269999998</v>
      </c>
      <c r="E17" s="1167">
        <f t="shared" si="1"/>
        <v>-4479.4444729999996</v>
      </c>
      <c r="F17" s="1168"/>
    </row>
    <row r="18" spans="1:6" s="207" customFormat="1" ht="18.75" customHeight="1">
      <c r="A18" s="1163" t="s">
        <v>317</v>
      </c>
      <c r="B18" s="1164" t="s">
        <v>362</v>
      </c>
      <c r="C18" s="1165">
        <f>C19+C26+C31+C33</f>
        <v>116334.72900000001</v>
      </c>
      <c r="D18" s="1165">
        <f>D19+D26+D31+D32</f>
        <v>138250.391913</v>
      </c>
      <c r="E18" s="1167">
        <f t="shared" si="1"/>
        <v>21915.662912999993</v>
      </c>
      <c r="F18" s="1168">
        <f t="shared" ref="F18:F24" si="2">D18/C18*100</f>
        <v>118.8384527143223</v>
      </c>
    </row>
    <row r="19" spans="1:6" s="207" customFormat="1" ht="18.75" customHeight="1">
      <c r="A19" s="1163" t="s">
        <v>318</v>
      </c>
      <c r="B19" s="1164" t="s">
        <v>495</v>
      </c>
      <c r="C19" s="1165">
        <f>SUM(C20:C25)</f>
        <v>81162.72967500001</v>
      </c>
      <c r="D19" s="1165">
        <f>D20+D21+D22+D23+D24+D25</f>
        <v>68198.768328000006</v>
      </c>
      <c r="E19" s="1167">
        <f t="shared" si="1"/>
        <v>-12963.961347000004</v>
      </c>
      <c r="F19" s="1168">
        <f t="shared" si="2"/>
        <v>84.027198938587205</v>
      </c>
    </row>
    <row r="20" spans="1:6" s="31" customFormat="1" ht="18.75" customHeight="1">
      <c r="A20" s="1169">
        <v>1</v>
      </c>
      <c r="B20" s="1170" t="s">
        <v>77</v>
      </c>
      <c r="C20" s="1171">
        <f>'51'!C10</f>
        <v>2884.5206750000002</v>
      </c>
      <c r="D20" s="1171">
        <f>'51'!D10</f>
        <v>2729.8000470000002</v>
      </c>
      <c r="E20" s="1173">
        <f t="shared" si="1"/>
        <v>-154.72062800000003</v>
      </c>
      <c r="F20" s="1174">
        <f t="shared" si="2"/>
        <v>94.636175454003293</v>
      </c>
    </row>
    <row r="21" spans="1:6" s="31" customFormat="1" ht="18.75" customHeight="1">
      <c r="A21" s="1169">
        <v>2</v>
      </c>
      <c r="B21" s="1170" t="s">
        <v>471</v>
      </c>
      <c r="C21" s="1171">
        <v>76794.209000000003</v>
      </c>
      <c r="D21" s="1171">
        <f>'51'!D17</f>
        <v>64327.264141</v>
      </c>
      <c r="E21" s="1173">
        <f t="shared" si="1"/>
        <v>-12466.944859000003</v>
      </c>
      <c r="F21" s="1174">
        <f t="shared" si="2"/>
        <v>83.765774761740161</v>
      </c>
    </row>
    <row r="22" spans="1:6" s="31" customFormat="1" ht="28.5" customHeight="1">
      <c r="A22" s="1169">
        <v>3</v>
      </c>
      <c r="B22" s="1175" t="s">
        <v>496</v>
      </c>
      <c r="C22" s="1171"/>
      <c r="D22" s="1171"/>
      <c r="E22" s="1173">
        <f t="shared" si="1"/>
        <v>0</v>
      </c>
      <c r="F22" s="1174"/>
    </row>
    <row r="23" spans="1:6" s="31" customFormat="1" ht="28.5" customHeight="1">
      <c r="A23" s="1169">
        <v>4</v>
      </c>
      <c r="B23" s="1175" t="s">
        <v>81</v>
      </c>
      <c r="C23" s="1171"/>
      <c r="D23" s="1171"/>
      <c r="E23" s="1173"/>
      <c r="F23" s="1174"/>
    </row>
    <row r="24" spans="1:6" s="31" customFormat="1" ht="19.5" customHeight="1">
      <c r="A24" s="1169">
        <v>5</v>
      </c>
      <c r="B24" s="1170" t="s">
        <v>400</v>
      </c>
      <c r="C24" s="1171">
        <v>1484</v>
      </c>
      <c r="D24" s="1171">
        <f>+'51'!D21</f>
        <v>1141.7041400000001</v>
      </c>
      <c r="E24" s="1173">
        <f t="shared" si="1"/>
        <v>-342.29585999999995</v>
      </c>
      <c r="F24" s="1174">
        <f t="shared" si="2"/>
        <v>76.934241239892188</v>
      </c>
    </row>
    <row r="25" spans="1:6" s="31" customFormat="1" ht="19.5" customHeight="1">
      <c r="A25" s="1169">
        <v>6</v>
      </c>
      <c r="B25" s="1170" t="s">
        <v>497</v>
      </c>
      <c r="C25" s="1171"/>
      <c r="D25" s="1171"/>
      <c r="E25" s="1173">
        <f t="shared" si="1"/>
        <v>0</v>
      </c>
      <c r="F25" s="1174"/>
    </row>
    <row r="26" spans="1:6" s="207" customFormat="1" ht="19.5" customHeight="1">
      <c r="A26" s="1163" t="s">
        <v>149</v>
      </c>
      <c r="B26" s="1164" t="s">
        <v>498</v>
      </c>
      <c r="C26" s="1165">
        <f>+C27+C30</f>
        <v>35171.999324999997</v>
      </c>
      <c r="D26" s="1165">
        <f t="shared" ref="D26:E26" si="3">+D27+D30</f>
        <v>57610.657694000009</v>
      </c>
      <c r="E26" s="1165">
        <f t="shared" si="3"/>
        <v>22438.658369000008</v>
      </c>
      <c r="F26" s="1168">
        <f t="shared" ref="F26:F30" si="4">D26/C26*100</f>
        <v>163.79693733546384</v>
      </c>
    </row>
    <row r="27" spans="1:6" s="31" customFormat="1" ht="19.5" customHeight="1">
      <c r="A27" s="1169">
        <v>1</v>
      </c>
      <c r="B27" s="1170" t="s">
        <v>499</v>
      </c>
      <c r="C27" s="1171">
        <f>'51'!C25</f>
        <v>31684.115612999998</v>
      </c>
      <c r="D27" s="1171">
        <f>'51'!D25</f>
        <v>29126.469160000001</v>
      </c>
      <c r="E27" s="1173">
        <f>D27-C27</f>
        <v>-2557.6464529999976</v>
      </c>
      <c r="F27" s="1174">
        <f t="shared" si="4"/>
        <v>91.927669737606323</v>
      </c>
    </row>
    <row r="28" spans="1:6" s="31" customFormat="1" ht="19.5" hidden="1" customHeight="1">
      <c r="A28" s="1169" t="s">
        <v>62</v>
      </c>
      <c r="B28" s="1177" t="s">
        <v>61</v>
      </c>
      <c r="C28" s="1171">
        <f>5703+499</f>
        <v>6202</v>
      </c>
      <c r="D28" s="1171">
        <f>+'51'!D27+'51'!D30+'51'!D33</f>
        <v>18257.162093999999</v>
      </c>
      <c r="E28" s="1173">
        <f>D28-C28</f>
        <v>12055.162093999999</v>
      </c>
      <c r="F28" s="1174">
        <f t="shared" si="4"/>
        <v>294.37539654950012</v>
      </c>
    </row>
    <row r="29" spans="1:6" s="31" customFormat="1" ht="19.5" hidden="1" customHeight="1">
      <c r="A29" s="1169" t="s">
        <v>62</v>
      </c>
      <c r="B29" s="1177" t="s">
        <v>116</v>
      </c>
      <c r="C29" s="1171">
        <f>+C27-C28</f>
        <v>25482.115612999998</v>
      </c>
      <c r="D29" s="1171">
        <f>+'51'!D28+'51'!D31+'51'!D34</f>
        <v>10869.307066000001</v>
      </c>
      <c r="E29" s="1173">
        <f>D29-C29</f>
        <v>-14612.808546999997</v>
      </c>
      <c r="F29" s="1174">
        <f t="shared" si="4"/>
        <v>42.65464936692657</v>
      </c>
    </row>
    <row r="30" spans="1:6" s="31" customFormat="1" ht="30.75" customHeight="1">
      <c r="A30" s="1193">
        <v>2</v>
      </c>
      <c r="B30" s="1170" t="s">
        <v>1092</v>
      </c>
      <c r="C30" s="1171">
        <f>'51'!C38</f>
        <v>3487.8837119999998</v>
      </c>
      <c r="D30" s="1171">
        <f>'51'!D36</f>
        <v>28484.188534000004</v>
      </c>
      <c r="E30" s="1173">
        <f t="shared" si="1"/>
        <v>24996.304822000006</v>
      </c>
      <c r="F30" s="1174">
        <f t="shared" si="4"/>
        <v>816.66107261548541</v>
      </c>
    </row>
    <row r="31" spans="1:6" s="207" customFormat="1" ht="19.5" customHeight="1">
      <c r="A31" s="1163" t="s">
        <v>64</v>
      </c>
      <c r="B31" s="1164" t="s">
        <v>401</v>
      </c>
      <c r="C31" s="1165">
        <v>0</v>
      </c>
      <c r="D31" s="1165">
        <v>11664.487961000001</v>
      </c>
      <c r="E31" s="1167"/>
      <c r="F31" s="1174"/>
    </row>
    <row r="32" spans="1:6" s="207" customFormat="1" ht="19.5" customHeight="1">
      <c r="A32" s="1574" t="s">
        <v>65</v>
      </c>
      <c r="B32" s="1575" t="s">
        <v>351</v>
      </c>
      <c r="C32" s="1165"/>
      <c r="D32" s="1165">
        <v>776.47793000000001</v>
      </c>
      <c r="E32" s="1167"/>
      <c r="F32" s="1174"/>
    </row>
    <row r="33" spans="1:6" ht="25.5">
      <c r="A33" s="1574" t="s">
        <v>246</v>
      </c>
      <c r="B33" s="1575" t="s">
        <v>1082</v>
      </c>
      <c r="C33" s="1165">
        <v>0</v>
      </c>
      <c r="D33" s="1165">
        <v>0</v>
      </c>
      <c r="E33" s="1167"/>
      <c r="F33" s="1174"/>
    </row>
    <row r="34" spans="1:6">
      <c r="A34" s="1574" t="s">
        <v>403</v>
      </c>
      <c r="B34" s="1575" t="s">
        <v>1083</v>
      </c>
      <c r="C34" s="1178"/>
      <c r="D34" s="1178"/>
      <c r="E34" s="1167">
        <f t="shared" ref="E34:E36" si="5">D34-C34</f>
        <v>0</v>
      </c>
      <c r="F34" s="1179"/>
    </row>
    <row r="35" spans="1:6">
      <c r="A35" s="1574" t="s">
        <v>318</v>
      </c>
      <c r="B35" s="1575" t="s">
        <v>1084</v>
      </c>
      <c r="C35" s="1178"/>
      <c r="D35" s="1178"/>
      <c r="E35" s="1167">
        <f t="shared" si="5"/>
        <v>0</v>
      </c>
      <c r="F35" s="1179"/>
    </row>
    <row r="36" spans="1:6" ht="25.5">
      <c r="A36" s="1574" t="s">
        <v>149</v>
      </c>
      <c r="B36" s="1575" t="s">
        <v>1085</v>
      </c>
      <c r="C36" s="1178"/>
      <c r="D36" s="1178"/>
      <c r="E36" s="1167">
        <f t="shared" si="5"/>
        <v>0</v>
      </c>
      <c r="F36" s="1179"/>
    </row>
    <row r="37" spans="1:6">
      <c r="A37" s="1574" t="s">
        <v>133</v>
      </c>
      <c r="B37" s="1575" t="s">
        <v>1086</v>
      </c>
      <c r="C37" s="1178"/>
      <c r="D37" s="1178"/>
      <c r="E37" s="1179"/>
      <c r="F37" s="1179"/>
    </row>
    <row r="38" spans="1:6">
      <c r="A38" s="1574" t="s">
        <v>318</v>
      </c>
      <c r="B38" s="1575" t="s">
        <v>1087</v>
      </c>
      <c r="C38" s="1178"/>
      <c r="D38" s="1178"/>
      <c r="E38" s="1179"/>
      <c r="F38" s="1179"/>
    </row>
    <row r="39" spans="1:6">
      <c r="A39" s="1574" t="s">
        <v>149</v>
      </c>
      <c r="B39" s="1575" t="s">
        <v>1088</v>
      </c>
      <c r="C39" s="1178"/>
      <c r="D39" s="1178"/>
      <c r="E39" s="1179"/>
      <c r="F39" s="1179"/>
    </row>
    <row r="40" spans="1:6" ht="25.5">
      <c r="A40" s="1161" t="s">
        <v>1089</v>
      </c>
      <c r="B40" s="1162" t="s">
        <v>1090</v>
      </c>
      <c r="C40" s="1178"/>
      <c r="D40" s="1178"/>
      <c r="E40" s="1179"/>
      <c r="F40" s="1179"/>
    </row>
  </sheetData>
  <mergeCells count="8">
    <mergeCell ref="E1:F1"/>
    <mergeCell ref="A2:F2"/>
    <mergeCell ref="A5:A6"/>
    <mergeCell ref="B5:B6"/>
    <mergeCell ref="C5:C6"/>
    <mergeCell ref="D5:D6"/>
    <mergeCell ref="E5:F5"/>
    <mergeCell ref="A3:F3"/>
  </mergeCells>
  <phoneticPr fontId="32" type="noConversion"/>
  <printOptions horizontalCentered="1"/>
  <pageMargins left="0" right="0" top="0.36" bottom="0.23" header="0.3" footer="0.23"/>
  <pageSetup paperSize="9" firstPageNumber="156" orientation="portrait" useFirstPageNumber="1"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F48"/>
  <sheetViews>
    <sheetView zoomScaleNormal="100" workbookViewId="0">
      <pane ySplit="6" topLeftCell="A24" activePane="bottomLeft" state="frozen"/>
      <selection pane="bottomLeft" activeCell="F38" sqref="F38"/>
    </sheetView>
  </sheetViews>
  <sheetFormatPr defaultColWidth="9.28515625" defaultRowHeight="15"/>
  <cols>
    <col min="1" max="1" width="6.42578125" style="28" customWidth="1"/>
    <col min="2" max="2" width="40" style="28" customWidth="1"/>
    <col min="3" max="3" width="17.28515625" style="58" customWidth="1"/>
    <col min="4" max="4" width="19.7109375" style="29" customWidth="1"/>
    <col min="5" max="5" width="11.28515625" style="28" customWidth="1"/>
    <col min="6" max="6" width="21.85546875" style="58" customWidth="1"/>
    <col min="7" max="7" width="11" style="28" customWidth="1"/>
    <col min="8" max="8" width="19.5703125" style="28" bestFit="1" customWidth="1"/>
    <col min="9" max="16384" width="9.28515625" style="28"/>
  </cols>
  <sheetData>
    <row r="1" spans="1:5" ht="22.5" customHeight="1">
      <c r="A1" s="210" t="str">
        <f>'48.QTCĐNSĐP'!A1</f>
        <v>UBND xã Trần Phú</v>
      </c>
      <c r="D1" s="1669" t="s">
        <v>1093</v>
      </c>
      <c r="E1" s="1669"/>
    </row>
    <row r="2" spans="1:5" ht="40.5" customHeight="1">
      <c r="A2" s="1670" t="s">
        <v>1099</v>
      </c>
      <c r="B2" s="1670"/>
      <c r="C2" s="1670"/>
      <c r="D2" s="1670"/>
      <c r="E2" s="1670"/>
    </row>
    <row r="3" spans="1:5" ht="29.25" customHeight="1">
      <c r="A3" s="1667" t="str">
        <f>'48.QTCĐNSĐP'!A3:F3</f>
        <v>(Kèm theo Quyết định số      /QĐ-UBND ngày 15/04/2026 nhân dân xã Trần Phú)</v>
      </c>
      <c r="B3" s="1667"/>
      <c r="C3" s="1667"/>
      <c r="D3" s="1667"/>
      <c r="E3" s="1667"/>
    </row>
    <row r="4" spans="1:5" ht="15.75">
      <c r="E4" s="87" t="s">
        <v>312</v>
      </c>
    </row>
    <row r="5" spans="1:5" s="1199" customFormat="1" ht="39.75" customHeight="1">
      <c r="A5" s="1159" t="s">
        <v>313</v>
      </c>
      <c r="B5" s="1159" t="s">
        <v>314</v>
      </c>
      <c r="C5" s="1159" t="s">
        <v>315</v>
      </c>
      <c r="D5" s="1207" t="s">
        <v>146</v>
      </c>
      <c r="E5" s="1159" t="s">
        <v>167</v>
      </c>
    </row>
    <row r="6" spans="1:5" s="1201" customFormat="1" ht="14.25" customHeight="1">
      <c r="A6" s="1200" t="s">
        <v>316</v>
      </c>
      <c r="B6" s="1200" t="s">
        <v>317</v>
      </c>
      <c r="C6" s="1200">
        <v>1</v>
      </c>
      <c r="D6" s="1211">
        <v>2</v>
      </c>
      <c r="E6" s="1200">
        <v>3</v>
      </c>
    </row>
    <row r="7" spans="1:5" s="1196" customFormat="1" ht="18.75" customHeight="1">
      <c r="A7" s="1159" t="s">
        <v>316</v>
      </c>
      <c r="B7" s="1160" t="s">
        <v>1100</v>
      </c>
      <c r="C7" s="1194">
        <f>+C8+C16</f>
        <v>0</v>
      </c>
      <c r="D7" s="1210">
        <f>+D8+D16</f>
        <v>0</v>
      </c>
      <c r="E7" s="1195"/>
    </row>
    <row r="8" spans="1:5" s="1197" customFormat="1" ht="3.75" hidden="1" customHeight="1">
      <c r="A8" s="1159" t="s">
        <v>318</v>
      </c>
      <c r="B8" s="1160" t="s">
        <v>168</v>
      </c>
      <c r="C8" s="1194">
        <f>+C9+C10+C13+C14+C15</f>
        <v>0</v>
      </c>
      <c r="D8" s="1210">
        <f>+D9+D10+D13+D14+D15</f>
        <v>0</v>
      </c>
      <c r="E8" s="1159"/>
    </row>
    <row r="9" spans="1:5" s="1196" customFormat="1" ht="20.25" hidden="1" customHeight="1">
      <c r="A9" s="1195">
        <v>1</v>
      </c>
      <c r="B9" s="1180" t="s">
        <v>169</v>
      </c>
      <c r="C9" s="1198"/>
      <c r="D9" s="1205"/>
      <c r="E9" s="1195"/>
    </row>
    <row r="10" spans="1:5" s="1196" customFormat="1" ht="20.25" hidden="1" customHeight="1">
      <c r="A10" s="1195">
        <v>2</v>
      </c>
      <c r="B10" s="1180" t="s">
        <v>257</v>
      </c>
      <c r="C10" s="1198"/>
      <c r="D10" s="1205"/>
      <c r="E10" s="1195"/>
    </row>
    <row r="11" spans="1:5" s="1196" customFormat="1" ht="20.25" hidden="1" customHeight="1">
      <c r="A11" s="1195" t="s">
        <v>73</v>
      </c>
      <c r="B11" s="1180" t="s">
        <v>170</v>
      </c>
      <c r="C11" s="1198"/>
      <c r="D11" s="1205"/>
      <c r="E11" s="1195"/>
    </row>
    <row r="12" spans="1:5" s="1196" customFormat="1" ht="20.25" hidden="1" customHeight="1">
      <c r="A12" s="1195" t="s">
        <v>73</v>
      </c>
      <c r="B12" s="1180" t="s">
        <v>48</v>
      </c>
      <c r="C12" s="1198"/>
      <c r="D12" s="1205"/>
      <c r="E12" s="1195"/>
    </row>
    <row r="13" spans="1:5" s="1196" customFormat="1" ht="20.25" hidden="1" customHeight="1">
      <c r="A13" s="1195">
        <v>3</v>
      </c>
      <c r="B13" s="1180" t="s">
        <v>1094</v>
      </c>
      <c r="C13" s="1198"/>
      <c r="D13" s="1205"/>
      <c r="E13" s="1195"/>
    </row>
    <row r="14" spans="1:5" s="1196" customFormat="1" ht="20.25" hidden="1" customHeight="1">
      <c r="A14" s="1195">
        <v>4</v>
      </c>
      <c r="B14" s="1180" t="s">
        <v>397</v>
      </c>
      <c r="C14" s="1198"/>
      <c r="D14" s="1205"/>
      <c r="E14" s="1195"/>
    </row>
    <row r="15" spans="1:5" s="1196" customFormat="1" ht="20.25" hidden="1" customHeight="1">
      <c r="A15" s="1195">
        <v>5</v>
      </c>
      <c r="B15" s="1180" t="s">
        <v>398</v>
      </c>
      <c r="C15" s="1198"/>
      <c r="D15" s="1205"/>
      <c r="E15" s="1195"/>
    </row>
    <row r="16" spans="1:5" s="1196" customFormat="1" ht="20.25" hidden="1" customHeight="1">
      <c r="A16" s="1159" t="s">
        <v>149</v>
      </c>
      <c r="B16" s="1160" t="s">
        <v>171</v>
      </c>
      <c r="C16" s="1194">
        <f>+C17+C18+C21</f>
        <v>0</v>
      </c>
      <c r="D16" s="1209">
        <f>+D17+D18+D21</f>
        <v>0</v>
      </c>
      <c r="E16" s="1195"/>
    </row>
    <row r="17" spans="1:5" s="1196" customFormat="1" ht="20.25" hidden="1" customHeight="1">
      <c r="A17" s="1195">
        <v>1</v>
      </c>
      <c r="B17" s="1180" t="s">
        <v>390</v>
      </c>
      <c r="C17" s="1198">
        <f>+C8</f>
        <v>0</v>
      </c>
      <c r="D17" s="1205"/>
      <c r="E17" s="1195"/>
    </row>
    <row r="18" spans="1:5" s="1196" customFormat="1" ht="20.25" hidden="1" customHeight="1">
      <c r="A18" s="1195">
        <v>2</v>
      </c>
      <c r="B18" s="1180" t="s">
        <v>172</v>
      </c>
      <c r="C18" s="1198"/>
      <c r="D18" s="1205"/>
      <c r="E18" s="1195"/>
    </row>
    <row r="19" spans="1:5" s="1196" customFormat="1" ht="20.25" hidden="1" customHeight="1">
      <c r="A19" s="1195" t="s">
        <v>73</v>
      </c>
      <c r="B19" s="1180" t="s">
        <v>173</v>
      </c>
      <c r="C19" s="1198"/>
      <c r="D19" s="1205"/>
      <c r="E19" s="1195"/>
    </row>
    <row r="20" spans="1:5" s="1196" customFormat="1" ht="20.25" hidden="1" customHeight="1">
      <c r="A20" s="1195" t="s">
        <v>73</v>
      </c>
      <c r="B20" s="1180" t="s">
        <v>439</v>
      </c>
      <c r="C20" s="1198"/>
      <c r="D20" s="1205"/>
      <c r="E20" s="1195"/>
    </row>
    <row r="21" spans="1:5" s="1196" customFormat="1" ht="20.25" hidden="1" customHeight="1">
      <c r="A21" s="1195">
        <v>3</v>
      </c>
      <c r="B21" s="1180" t="s">
        <v>401</v>
      </c>
      <c r="C21" s="1198"/>
      <c r="D21" s="1205"/>
      <c r="E21" s="1195"/>
    </row>
    <row r="22" spans="1:5" s="1196" customFormat="1" ht="48.75" hidden="1" customHeight="1">
      <c r="A22" s="1159" t="s">
        <v>64</v>
      </c>
      <c r="B22" s="1160" t="s">
        <v>1095</v>
      </c>
      <c r="C22" s="1198"/>
      <c r="D22" s="1205"/>
      <c r="E22" s="1195"/>
    </row>
    <row r="23" spans="1:5" s="1196" customFormat="1" ht="20.25" hidden="1" customHeight="1">
      <c r="A23" s="1159" t="s">
        <v>65</v>
      </c>
      <c r="B23" s="1160" t="s">
        <v>1096</v>
      </c>
      <c r="C23" s="1198"/>
      <c r="D23" s="1205"/>
      <c r="E23" s="1195"/>
    </row>
    <row r="24" spans="1:5" s="1206" customFormat="1" ht="23.25" customHeight="1">
      <c r="A24" s="1207" t="s">
        <v>317</v>
      </c>
      <c r="B24" s="1208" t="s">
        <v>194</v>
      </c>
      <c r="C24" s="1210">
        <f>+C25</f>
        <v>116334.72899999999</v>
      </c>
      <c r="D24" s="1210">
        <f>+D25</f>
        <v>138250.39191300003</v>
      </c>
      <c r="E24" s="1622">
        <f>D24/C24*100</f>
        <v>118.83845271432234</v>
      </c>
    </row>
    <row r="25" spans="1:5" s="1212" customFormat="1" ht="20.25" customHeight="1">
      <c r="A25" s="1207" t="s">
        <v>318</v>
      </c>
      <c r="B25" s="1208" t="s">
        <v>168</v>
      </c>
      <c r="C25" s="1210">
        <f>+C26+C27+C30+C31</f>
        <v>116334.72899999999</v>
      </c>
      <c r="D25" s="1210">
        <f>+D26+D27+D30+D31+D32</f>
        <v>138250.39191300003</v>
      </c>
      <c r="E25" s="1622">
        <f t="shared" ref="E25:E34" si="0">D25/C25*100</f>
        <v>118.83845271432234</v>
      </c>
    </row>
    <row r="26" spans="1:5" s="1206" customFormat="1" ht="20.25" customHeight="1">
      <c r="A26" s="1202">
        <v>1</v>
      </c>
      <c r="B26" s="1203" t="s">
        <v>169</v>
      </c>
      <c r="C26" s="1205"/>
      <c r="D26" s="1205">
        <v>11</v>
      </c>
      <c r="E26" s="1623"/>
    </row>
    <row r="27" spans="1:5" s="1206" customFormat="1" ht="20.25" customHeight="1">
      <c r="A27" s="1202">
        <v>2</v>
      </c>
      <c r="B27" s="1203" t="s">
        <v>257</v>
      </c>
      <c r="C27" s="1205">
        <f>SUM(C28:C29)</f>
        <v>102092</v>
      </c>
      <c r="D27" s="1205">
        <f>SUM(D28:D29)</f>
        <v>128479.17479300001</v>
      </c>
      <c r="E27" s="1623">
        <f t="shared" si="0"/>
        <v>125.84646670943856</v>
      </c>
    </row>
    <row r="28" spans="1:5" s="1206" customFormat="1" ht="20.25" customHeight="1">
      <c r="A28" s="1202" t="s">
        <v>73</v>
      </c>
      <c r="B28" s="1203" t="s">
        <v>395</v>
      </c>
      <c r="C28" s="1205">
        <v>58637</v>
      </c>
      <c r="D28" s="1205">
        <v>79223.293713000006</v>
      </c>
      <c r="E28" s="1623">
        <f t="shared" si="0"/>
        <v>135.10802686528984</v>
      </c>
    </row>
    <row r="29" spans="1:5" s="1206" customFormat="1" ht="20.25" customHeight="1">
      <c r="A29" s="1202" t="s">
        <v>73</v>
      </c>
      <c r="B29" s="1203" t="s">
        <v>396</v>
      </c>
      <c r="C29" s="1205">
        <v>43455</v>
      </c>
      <c r="D29" s="1205">
        <v>49255.881079999999</v>
      </c>
      <c r="E29" s="1623">
        <f t="shared" si="0"/>
        <v>113.34916828903462</v>
      </c>
    </row>
    <row r="30" spans="1:5" s="1206" customFormat="1" ht="20.25" customHeight="1">
      <c r="A30" s="1202">
        <v>3</v>
      </c>
      <c r="B30" s="1203" t="s">
        <v>397</v>
      </c>
      <c r="C30" s="1205">
        <v>225.5</v>
      </c>
      <c r="D30" s="1205">
        <v>222.432593</v>
      </c>
      <c r="E30" s="1623">
        <f t="shared" si="0"/>
        <v>98.639730820399109</v>
      </c>
    </row>
    <row r="31" spans="1:5" s="1206" customFormat="1" ht="20.25" customHeight="1">
      <c r="A31" s="1202">
        <v>4</v>
      </c>
      <c r="B31" s="1203" t="s">
        <v>398</v>
      </c>
      <c r="C31" s="1205">
        <v>14017.228999999999</v>
      </c>
      <c r="D31" s="1205">
        <v>9537.7845269999998</v>
      </c>
      <c r="E31" s="1623">
        <f t="shared" si="0"/>
        <v>68.043295340327248</v>
      </c>
    </row>
    <row r="32" spans="1:5" s="1206" customFormat="1" ht="20.25" customHeight="1">
      <c r="A32" s="1202">
        <v>5</v>
      </c>
      <c r="B32" s="1203" t="s">
        <v>1097</v>
      </c>
      <c r="C32" s="1204"/>
      <c r="D32" s="1205">
        <v>0</v>
      </c>
      <c r="E32" s="1623"/>
    </row>
    <row r="33" spans="1:6" s="1206" customFormat="1" ht="20.25" customHeight="1">
      <c r="A33" s="1207" t="s">
        <v>149</v>
      </c>
      <c r="B33" s="1208" t="s">
        <v>171</v>
      </c>
      <c r="C33" s="1210">
        <f>C34+C35+C38</f>
        <v>116334.72900000001</v>
      </c>
      <c r="D33" s="1210">
        <f>+D34+D35+D38</f>
        <v>138250.391913</v>
      </c>
      <c r="E33" s="1622">
        <f t="shared" si="0"/>
        <v>118.8384527143223</v>
      </c>
      <c r="F33" s="1213"/>
    </row>
    <row r="34" spans="1:6" s="1206" customFormat="1" ht="20.25" customHeight="1">
      <c r="A34" s="1202">
        <v>1</v>
      </c>
      <c r="B34" s="1203" t="s">
        <v>390</v>
      </c>
      <c r="C34" s="1205">
        <v>116334.72900000001</v>
      </c>
      <c r="D34" s="1205">
        <v>126585.90395199999</v>
      </c>
      <c r="E34" s="1623">
        <f t="shared" si="0"/>
        <v>108.81179252327995</v>
      </c>
    </row>
    <row r="35" spans="1:6" s="1206" customFormat="1" ht="20.25" customHeight="1">
      <c r="A35" s="1202">
        <v>2</v>
      </c>
      <c r="B35" s="1203" t="s">
        <v>1098</v>
      </c>
      <c r="C35" s="1204"/>
      <c r="D35" s="1205">
        <f>SUM(D36:D37)</f>
        <v>0</v>
      </c>
      <c r="E35" s="1623"/>
    </row>
    <row r="36" spans="1:6" s="1206" customFormat="1" ht="20.25" customHeight="1">
      <c r="A36" s="1202" t="s">
        <v>73</v>
      </c>
      <c r="B36" s="1203" t="s">
        <v>173</v>
      </c>
      <c r="C36" s="1204"/>
      <c r="D36" s="1205"/>
      <c r="E36" s="1623"/>
    </row>
    <row r="37" spans="1:6" s="1206" customFormat="1" ht="20.25" customHeight="1">
      <c r="A37" s="1202" t="s">
        <v>73</v>
      </c>
      <c r="B37" s="1203" t="s">
        <v>439</v>
      </c>
      <c r="C37" s="1204"/>
      <c r="D37" s="1205"/>
      <c r="E37" s="1623"/>
    </row>
    <row r="38" spans="1:6" s="1206" customFormat="1" ht="20.25" customHeight="1">
      <c r="A38" s="1202">
        <v>3</v>
      </c>
      <c r="B38" s="1203" t="s">
        <v>401</v>
      </c>
      <c r="C38" s="1371"/>
      <c r="D38" s="1205">
        <f>+'48.QTCĐNSĐP'!D31</f>
        <v>11664.487961000001</v>
      </c>
      <c r="E38" s="1623"/>
    </row>
    <row r="39" spans="1:6" s="1196" customFormat="1" ht="18.75" customHeight="1">
      <c r="A39" s="1159" t="s">
        <v>64</v>
      </c>
      <c r="B39" s="1160" t="s">
        <v>440</v>
      </c>
      <c r="C39" s="1372"/>
      <c r="D39" s="1210">
        <f>+'48.QTCĐNSĐP'!D33</f>
        <v>0</v>
      </c>
      <c r="E39" s="1624"/>
    </row>
    <row r="40" spans="1:6" ht="20.25" hidden="1" customHeight="1">
      <c r="C40" s="1664" t="s">
        <v>234</v>
      </c>
      <c r="D40" s="1664"/>
      <c r="E40" s="1664"/>
    </row>
    <row r="41" spans="1:6" ht="20.25" hidden="1" customHeight="1">
      <c r="C41" s="1667" t="s">
        <v>151</v>
      </c>
      <c r="D41" s="1667"/>
      <c r="E41" s="1667"/>
    </row>
    <row r="42" spans="1:6" hidden="1"/>
    <row r="43" spans="1:6" hidden="1"/>
    <row r="44" spans="1:6" hidden="1"/>
    <row r="45" spans="1:6" hidden="1"/>
    <row r="46" spans="1:6" hidden="1"/>
    <row r="47" spans="1:6" ht="18.75" hidden="1">
      <c r="C47" s="1668" t="e">
        <f>_xlfn.SINGLE('48.QTCĐNSĐP'!#REF!)</f>
        <v>#REF!</v>
      </c>
      <c r="D47" s="1668"/>
      <c r="E47" s="1668"/>
    </row>
    <row r="48" spans="1:6" hidden="1"/>
  </sheetData>
  <mergeCells count="6">
    <mergeCell ref="C47:E47"/>
    <mergeCell ref="D1:E1"/>
    <mergeCell ref="C41:E41"/>
    <mergeCell ref="A2:E2"/>
    <mergeCell ref="C40:E40"/>
    <mergeCell ref="A3:E3"/>
  </mergeCells>
  <phoneticPr fontId="32" type="noConversion"/>
  <pageMargins left="0.91" right="0.2" top="0.38" bottom="0.27" header="0.3" footer="0.23"/>
  <pageSetup paperSize="9" scale="95" firstPageNumber="157" orientation="portrait" useFirstPageNumber="1"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sheetPr>
  <dimension ref="A1:J80"/>
  <sheetViews>
    <sheetView workbookViewId="0">
      <pane ySplit="7" topLeftCell="A53" activePane="bottomLeft" state="frozen"/>
      <selection pane="bottomLeft" activeCell="J81" sqref="J81"/>
    </sheetView>
  </sheetViews>
  <sheetFormatPr defaultColWidth="9.28515625" defaultRowHeight="15"/>
  <cols>
    <col min="1" max="1" width="4.5703125" style="33" customWidth="1"/>
    <col min="2" max="2" width="46.28515625" style="33" customWidth="1"/>
    <col min="3" max="4" width="14.42578125" style="26" customWidth="1"/>
    <col min="5" max="6" width="14.42578125" style="33" customWidth="1"/>
    <col min="7" max="8" width="9.28515625" style="26" customWidth="1"/>
    <col min="9" max="9" width="19.5703125" style="63" customWidth="1"/>
    <col min="10" max="16384" width="9.28515625" style="33"/>
  </cols>
  <sheetData>
    <row r="1" spans="1:9" ht="21" customHeight="1">
      <c r="A1" s="34" t="str">
        <f>'48.QTCĐNSĐP'!A1</f>
        <v>UBND xã Trần Phú</v>
      </c>
      <c r="G1" s="1671" t="s">
        <v>1103</v>
      </c>
      <c r="H1" s="1671"/>
    </row>
    <row r="2" spans="1:9" ht="31.5" customHeight="1">
      <c r="A2" s="1672" t="s">
        <v>1105</v>
      </c>
      <c r="B2" s="1672"/>
      <c r="C2" s="1672"/>
      <c r="D2" s="1672"/>
      <c r="E2" s="1672"/>
      <c r="F2" s="1672"/>
      <c r="G2" s="1672"/>
      <c r="H2" s="1672"/>
    </row>
    <row r="3" spans="1:9" ht="31.5" customHeight="1">
      <c r="A3" s="1676" t="str">
        <f>'48.QTCĐNSĐP'!A3:F3</f>
        <v>(Kèm theo Quyết định số      /QĐ-UBND ngày 15/04/2026 nhân dân xã Trần Phú)</v>
      </c>
      <c r="B3" s="1676"/>
      <c r="C3" s="1676"/>
      <c r="D3" s="1676"/>
      <c r="E3" s="1676"/>
      <c r="F3" s="1676"/>
      <c r="G3" s="1676"/>
      <c r="H3" s="1676"/>
    </row>
    <row r="4" spans="1:9" ht="15.75">
      <c r="F4" s="161"/>
      <c r="G4" s="1675" t="s">
        <v>71</v>
      </c>
      <c r="H4" s="1675"/>
    </row>
    <row r="5" spans="1:9" s="37" customFormat="1" ht="18" customHeight="1">
      <c r="A5" s="1673" t="s">
        <v>313</v>
      </c>
      <c r="B5" s="1673" t="s">
        <v>314</v>
      </c>
      <c r="C5" s="1674" t="s">
        <v>315</v>
      </c>
      <c r="D5" s="1674"/>
      <c r="E5" s="1673" t="s">
        <v>146</v>
      </c>
      <c r="F5" s="1673"/>
      <c r="G5" s="1674" t="s">
        <v>167</v>
      </c>
      <c r="H5" s="1674"/>
      <c r="I5" s="66"/>
    </row>
    <row r="6" spans="1:9" s="37" customFormat="1" ht="25.5">
      <c r="A6" s="1673"/>
      <c r="B6" s="1673"/>
      <c r="C6" s="160" t="s">
        <v>442</v>
      </c>
      <c r="D6" s="160" t="s">
        <v>443</v>
      </c>
      <c r="E6" s="106" t="s">
        <v>442</v>
      </c>
      <c r="F6" s="106" t="s">
        <v>443</v>
      </c>
      <c r="G6" s="160" t="s">
        <v>442</v>
      </c>
      <c r="H6" s="160" t="s">
        <v>443</v>
      </c>
      <c r="I6" s="66"/>
    </row>
    <row r="7" spans="1:9" s="182" customFormat="1" ht="12.75">
      <c r="A7" s="795" t="s">
        <v>316</v>
      </c>
      <c r="B7" s="795" t="s">
        <v>317</v>
      </c>
      <c r="C7" s="796">
        <v>1</v>
      </c>
      <c r="D7" s="797">
        <v>2</v>
      </c>
      <c r="E7" s="795">
        <v>3</v>
      </c>
      <c r="F7" s="795">
        <v>4</v>
      </c>
      <c r="G7" s="798" t="s">
        <v>444</v>
      </c>
      <c r="H7" s="798" t="s">
        <v>445</v>
      </c>
      <c r="I7" s="799"/>
    </row>
    <row r="8" spans="1:9" s="37" customFormat="1" ht="18" customHeight="1">
      <c r="A8" s="162"/>
      <c r="B8" s="163" t="s">
        <v>446</v>
      </c>
      <c r="C8" s="1375">
        <f>C9+C62+C67+C68</f>
        <v>119954.72899999999</v>
      </c>
      <c r="D8" s="1375">
        <f>D9+D62+D67+D68</f>
        <v>116334.72899999999</v>
      </c>
      <c r="E8" s="165">
        <f>E9+E62+E67+E68</f>
        <v>141819.58991500002</v>
      </c>
      <c r="F8" s="165">
        <f>F9+F62+F67+F68</f>
        <v>138250.39191300003</v>
      </c>
      <c r="G8" s="164">
        <f t="shared" ref="G8:H10" si="0">E8/C8*100</f>
        <v>118.2275939408775</v>
      </c>
      <c r="H8" s="164">
        <f t="shared" si="0"/>
        <v>118.83845271432234</v>
      </c>
      <c r="I8" s="40"/>
    </row>
    <row r="9" spans="1:9" s="37" customFormat="1" ht="23.25" customHeight="1">
      <c r="A9" s="38" t="s">
        <v>316</v>
      </c>
      <c r="B9" s="166" t="s">
        <v>118</v>
      </c>
      <c r="C9" s="1376">
        <f>C10+C52+C53+C60+C61</f>
        <v>3620</v>
      </c>
      <c r="D9" s="1376"/>
      <c r="E9" s="174">
        <f>E10+E52+E53+E60+E61</f>
        <v>3541.6900020000003</v>
      </c>
      <c r="F9" s="174">
        <f>F10+F52+F53+F60+F61</f>
        <v>11</v>
      </c>
      <c r="G9" s="167">
        <f t="shared" si="0"/>
        <v>97.836740386740345</v>
      </c>
      <c r="H9" s="167"/>
      <c r="I9" s="179"/>
    </row>
    <row r="10" spans="1:9" s="37" customFormat="1" ht="18" customHeight="1">
      <c r="A10" s="38" t="s">
        <v>318</v>
      </c>
      <c r="B10" s="166" t="s">
        <v>319</v>
      </c>
      <c r="C10" s="1376">
        <f>C11+C17+C22+C23+C29+C30+C33+C34+C39+C40+C41+C42+C43+C44+C45+C46+C47+C48+C49+C50+C51</f>
        <v>3620</v>
      </c>
      <c r="D10" s="1376"/>
      <c r="E10" s="174">
        <f>E11+E17+E23+E29+E30+E33+E34+E39+E40+E42+E41+E43+E44+E45+E46+E47+E48+E49+E50+E51</f>
        <v>3541.6900020000003</v>
      </c>
      <c r="F10" s="174">
        <f>F11+F17+F23+F29+F30+F33+F34+F39+F40+F42+F41+F43+F44+F45+F46+F47+F48+F49+F50+F51</f>
        <v>11</v>
      </c>
      <c r="G10" s="167">
        <f t="shared" si="0"/>
        <v>97.836740386740345</v>
      </c>
      <c r="H10" s="167"/>
      <c r="I10" s="40"/>
    </row>
    <row r="11" spans="1:9" s="41" customFormat="1" ht="18" customHeight="1">
      <c r="A11" s="38">
        <v>1</v>
      </c>
      <c r="B11" s="166" t="s">
        <v>657</v>
      </c>
      <c r="C11" s="1376"/>
      <c r="D11" s="1376"/>
      <c r="E11" s="168">
        <f>SUM(E12:E16)</f>
        <v>0</v>
      </c>
      <c r="F11" s="168">
        <f>SUM(F12:F16)</f>
        <v>0</v>
      </c>
      <c r="G11" s="167"/>
      <c r="H11" s="167"/>
      <c r="I11" s="169"/>
    </row>
    <row r="12" spans="1:9" s="37" customFormat="1" ht="18" customHeight="1">
      <c r="A12" s="159"/>
      <c r="B12" s="171" t="s">
        <v>102</v>
      </c>
      <c r="C12" s="1377"/>
      <c r="D12" s="1377"/>
      <c r="E12" s="172"/>
      <c r="F12" s="172"/>
      <c r="G12" s="45"/>
      <c r="H12" s="45"/>
      <c r="I12" s="40"/>
    </row>
    <row r="13" spans="1:9" s="37" customFormat="1" ht="18" customHeight="1">
      <c r="A13" s="159"/>
      <c r="B13" s="171" t="s">
        <v>101</v>
      </c>
      <c r="C13" s="1377"/>
      <c r="D13" s="1377"/>
      <c r="E13" s="172"/>
      <c r="F13" s="172"/>
      <c r="G13" s="45"/>
      <c r="H13" s="45"/>
      <c r="I13" s="66"/>
    </row>
    <row r="14" spans="1:9" s="37" customFormat="1" ht="18" customHeight="1">
      <c r="A14" s="159"/>
      <c r="B14" s="171" t="s">
        <v>99</v>
      </c>
      <c r="C14" s="1377"/>
      <c r="D14" s="1377"/>
      <c r="E14" s="172"/>
      <c r="F14" s="172"/>
      <c r="G14" s="45"/>
      <c r="H14" s="45"/>
      <c r="I14" s="66"/>
    </row>
    <row r="15" spans="1:9" s="37" customFormat="1" ht="18" customHeight="1">
      <c r="A15" s="159"/>
      <c r="B15" s="171" t="s">
        <v>96</v>
      </c>
      <c r="C15" s="1377"/>
      <c r="D15" s="1377"/>
      <c r="E15" s="172"/>
      <c r="F15" s="172"/>
      <c r="G15" s="45"/>
      <c r="H15" s="45"/>
      <c r="I15" s="66"/>
    </row>
    <row r="16" spans="1:9" s="37" customFormat="1" ht="18" customHeight="1">
      <c r="A16" s="159"/>
      <c r="B16" s="171" t="s">
        <v>97</v>
      </c>
      <c r="C16" s="1377"/>
      <c r="D16" s="1377"/>
      <c r="E16" s="172"/>
      <c r="F16" s="172"/>
      <c r="G16" s="45"/>
      <c r="H16" s="45"/>
      <c r="I16" s="66"/>
    </row>
    <row r="17" spans="1:9" s="41" customFormat="1" ht="18" customHeight="1">
      <c r="A17" s="38">
        <v>2</v>
      </c>
      <c r="B17" s="166" t="s">
        <v>658</v>
      </c>
      <c r="C17" s="1376"/>
      <c r="D17" s="1376"/>
      <c r="E17" s="168">
        <f>E18+E19+E20+E21+E22</f>
        <v>5.625413</v>
      </c>
      <c r="F17" s="168">
        <f>F18+F19+F20+F21+F22</f>
        <v>0</v>
      </c>
      <c r="G17" s="167"/>
      <c r="H17" s="167"/>
      <c r="I17" s="173"/>
    </row>
    <row r="18" spans="1:9" s="37" customFormat="1" ht="18" customHeight="1">
      <c r="A18" s="159"/>
      <c r="B18" s="171" t="s">
        <v>100</v>
      </c>
      <c r="C18" s="1377"/>
      <c r="D18" s="1377"/>
      <c r="E18" s="172"/>
      <c r="F18" s="172"/>
      <c r="G18" s="167"/>
      <c r="H18" s="167"/>
      <c r="I18" s="66"/>
    </row>
    <row r="19" spans="1:9" s="37" customFormat="1" ht="18" customHeight="1">
      <c r="A19" s="159"/>
      <c r="B19" s="171" t="s">
        <v>99</v>
      </c>
      <c r="C19" s="1377"/>
      <c r="D19" s="1377"/>
      <c r="E19" s="172">
        <v>5.625413</v>
      </c>
      <c r="F19" s="172"/>
      <c r="G19" s="167"/>
      <c r="H19" s="167"/>
      <c r="I19" s="66"/>
    </row>
    <row r="20" spans="1:9" s="37" customFormat="1" ht="18" customHeight="1">
      <c r="A20" s="159"/>
      <c r="B20" s="171" t="s">
        <v>739</v>
      </c>
      <c r="C20" s="1377"/>
      <c r="D20" s="1377"/>
      <c r="E20" s="172"/>
      <c r="F20" s="172"/>
      <c r="G20" s="167"/>
      <c r="H20" s="167"/>
      <c r="I20" s="66"/>
    </row>
    <row r="21" spans="1:9" s="37" customFormat="1" ht="18" customHeight="1">
      <c r="A21" s="159"/>
      <c r="B21" s="171" t="s">
        <v>63</v>
      </c>
      <c r="C21" s="1377"/>
      <c r="D21" s="1377"/>
      <c r="E21" s="172"/>
      <c r="F21" s="172"/>
      <c r="G21" s="167"/>
      <c r="H21" s="167"/>
      <c r="I21" s="66"/>
    </row>
    <row r="22" spans="1:9" s="41" customFormat="1" ht="18" customHeight="1">
      <c r="A22" s="38">
        <v>3</v>
      </c>
      <c r="B22" s="166" t="s">
        <v>360</v>
      </c>
      <c r="C22" s="1376"/>
      <c r="D22" s="1376"/>
      <c r="E22" s="174"/>
      <c r="F22" s="174"/>
      <c r="G22" s="167"/>
      <c r="H22" s="167"/>
      <c r="I22" s="173"/>
    </row>
    <row r="23" spans="1:9" s="41" customFormat="1" ht="18" customHeight="1">
      <c r="A23" s="38">
        <v>4</v>
      </c>
      <c r="B23" s="166" t="s">
        <v>123</v>
      </c>
      <c r="C23" s="1376">
        <f>SUM(C24:C28)</f>
        <v>1233</v>
      </c>
      <c r="D23" s="1376"/>
      <c r="E23" s="168">
        <f>SUM(E24:E28)</f>
        <v>1212.542312</v>
      </c>
      <c r="F23" s="168">
        <f>SUM(F24:F28)</f>
        <v>0</v>
      </c>
      <c r="G23" s="167">
        <f t="shared" ref="G23:G26" si="1">E23/C23*100</f>
        <v>98.340820113544197</v>
      </c>
      <c r="H23" s="167"/>
      <c r="I23" s="173"/>
    </row>
    <row r="24" spans="1:9" s="37" customFormat="1" ht="18" customHeight="1">
      <c r="A24" s="159"/>
      <c r="B24" s="170" t="s">
        <v>100</v>
      </c>
      <c r="C24" s="1377">
        <v>907</v>
      </c>
      <c r="D24" s="1377"/>
      <c r="E24" s="172">
        <v>1055.7460430000001</v>
      </c>
      <c r="F24" s="172"/>
      <c r="G24" s="45">
        <f t="shared" si="1"/>
        <v>116.39978423373761</v>
      </c>
      <c r="H24" s="45"/>
      <c r="I24" s="66"/>
    </row>
    <row r="25" spans="1:9" s="37" customFormat="1" ht="18" customHeight="1">
      <c r="A25" s="159"/>
      <c r="B25" s="170" t="s">
        <v>99</v>
      </c>
      <c r="C25" s="1377">
        <v>106</v>
      </c>
      <c r="D25" s="1377"/>
      <c r="E25" s="172">
        <v>156.79185899999999</v>
      </c>
      <c r="F25" s="172"/>
      <c r="G25" s="45"/>
      <c r="H25" s="45"/>
      <c r="I25" s="66"/>
    </row>
    <row r="26" spans="1:9" s="37" customFormat="1" ht="18" customHeight="1">
      <c r="A26" s="159"/>
      <c r="B26" s="170" t="s">
        <v>96</v>
      </c>
      <c r="C26" s="1377">
        <v>220</v>
      </c>
      <c r="D26" s="1377"/>
      <c r="E26" s="172">
        <v>0</v>
      </c>
      <c r="F26" s="172"/>
      <c r="G26" s="45">
        <f t="shared" si="1"/>
        <v>0</v>
      </c>
      <c r="H26" s="45"/>
      <c r="I26" s="66"/>
    </row>
    <row r="27" spans="1:9" s="37" customFormat="1" ht="18" customHeight="1">
      <c r="A27" s="159"/>
      <c r="B27" s="170" t="s">
        <v>98</v>
      </c>
      <c r="C27" s="1377"/>
      <c r="D27" s="1377"/>
      <c r="E27" s="172"/>
      <c r="F27" s="172"/>
      <c r="G27" s="45"/>
      <c r="H27" s="45"/>
      <c r="I27" s="66"/>
    </row>
    <row r="28" spans="1:9" s="37" customFormat="1" ht="18" customHeight="1">
      <c r="A28" s="159"/>
      <c r="B28" s="170" t="s">
        <v>536</v>
      </c>
      <c r="C28" s="1377"/>
      <c r="D28" s="1377"/>
      <c r="E28" s="172">
        <v>4.4099999999999999E-3</v>
      </c>
      <c r="F28" s="172"/>
      <c r="G28" s="45"/>
      <c r="H28" s="45"/>
      <c r="I28" s="66"/>
    </row>
    <row r="29" spans="1:9" s="41" customFormat="1" ht="18" customHeight="1">
      <c r="A29" s="38">
        <v>5</v>
      </c>
      <c r="B29" s="166" t="s">
        <v>124</v>
      </c>
      <c r="C29" s="1376">
        <v>473</v>
      </c>
      <c r="D29" s="1376"/>
      <c r="E29" s="174">
        <v>489.56749000000002</v>
      </c>
      <c r="F29" s="174"/>
      <c r="G29" s="167">
        <f>E29/C29*100</f>
        <v>103.50264059196618</v>
      </c>
      <c r="H29" s="167"/>
      <c r="I29" s="173"/>
    </row>
    <row r="30" spans="1:9" s="41" customFormat="1" ht="18" customHeight="1">
      <c r="A30" s="38">
        <v>6</v>
      </c>
      <c r="B30" s="166" t="s">
        <v>125</v>
      </c>
      <c r="C30" s="1376"/>
      <c r="D30" s="1376"/>
      <c r="E30" s="174"/>
      <c r="F30" s="174"/>
      <c r="G30" s="167"/>
      <c r="H30" s="167"/>
      <c r="I30" s="173"/>
    </row>
    <row r="31" spans="1:9" s="37" customFormat="1" ht="25.5">
      <c r="A31" s="159" t="s">
        <v>73</v>
      </c>
      <c r="B31" s="175" t="s">
        <v>191</v>
      </c>
      <c r="C31" s="1377"/>
      <c r="D31" s="1376"/>
      <c r="E31" s="55"/>
      <c r="F31" s="55"/>
      <c r="G31" s="167"/>
      <c r="H31" s="167"/>
      <c r="I31" s="66"/>
    </row>
    <row r="32" spans="1:9" s="37" customFormat="1" ht="18" customHeight="1">
      <c r="A32" s="159" t="s">
        <v>73</v>
      </c>
      <c r="B32" s="175" t="s">
        <v>183</v>
      </c>
      <c r="C32" s="1377"/>
      <c r="D32" s="1376"/>
      <c r="E32" s="55"/>
      <c r="F32" s="55"/>
      <c r="G32" s="167"/>
      <c r="H32" s="167"/>
      <c r="I32" s="66"/>
    </row>
    <row r="33" spans="1:10" s="41" customFormat="1" ht="18" customHeight="1">
      <c r="A33" s="38">
        <v>7</v>
      </c>
      <c r="B33" s="166" t="s">
        <v>126</v>
      </c>
      <c r="C33" s="1376">
        <v>853</v>
      </c>
      <c r="D33" s="1376"/>
      <c r="E33" s="174">
        <v>1251.760092</v>
      </c>
      <c r="F33" s="174"/>
      <c r="G33" s="167">
        <f>E33/C33*100</f>
        <v>146.7479592028136</v>
      </c>
      <c r="H33" s="167"/>
      <c r="I33" s="173"/>
    </row>
    <row r="34" spans="1:10" s="41" customFormat="1" ht="18" customHeight="1">
      <c r="A34" s="38">
        <v>8</v>
      </c>
      <c r="B34" s="166" t="s">
        <v>184</v>
      </c>
      <c r="C34" s="1376">
        <v>344</v>
      </c>
      <c r="D34" s="1376"/>
      <c r="E34" s="174">
        <v>89.259924999999996</v>
      </c>
      <c r="F34" s="174">
        <v>0</v>
      </c>
      <c r="G34" s="167">
        <f>E34/C34*100</f>
        <v>25.947652616279072</v>
      </c>
      <c r="H34" s="167"/>
      <c r="I34" s="176"/>
    </row>
    <row r="35" spans="1:10" s="37" customFormat="1" ht="18" customHeight="1">
      <c r="A35" s="159" t="s">
        <v>73</v>
      </c>
      <c r="B35" s="175" t="s">
        <v>0</v>
      </c>
      <c r="C35" s="1377"/>
      <c r="D35" s="1376"/>
      <c r="E35" s="55">
        <v>10.106</v>
      </c>
      <c r="F35" s="177"/>
      <c r="G35" s="167"/>
      <c r="H35" s="167"/>
      <c r="I35" s="66"/>
    </row>
    <row r="36" spans="1:10" s="37" customFormat="1" ht="18" customHeight="1">
      <c r="A36" s="159" t="s">
        <v>73</v>
      </c>
      <c r="B36" s="175" t="s">
        <v>1</v>
      </c>
      <c r="C36" s="1377"/>
      <c r="D36" s="1376"/>
      <c r="E36" s="55">
        <v>79.153925000000001</v>
      </c>
      <c r="F36" s="177"/>
      <c r="G36" s="167"/>
      <c r="H36" s="167"/>
      <c r="I36" s="66"/>
    </row>
    <row r="37" spans="1:10" s="37" customFormat="1" ht="18" customHeight="1">
      <c r="A37" s="159" t="s">
        <v>73</v>
      </c>
      <c r="B37" s="175" t="s">
        <v>2</v>
      </c>
      <c r="C37" s="1377"/>
      <c r="D37" s="1376"/>
      <c r="E37" s="55"/>
      <c r="F37" s="177">
        <f>+E37</f>
        <v>0</v>
      </c>
      <c r="G37" s="167"/>
      <c r="H37" s="167"/>
      <c r="I37" s="66"/>
    </row>
    <row r="38" spans="1:10" s="37" customFormat="1" ht="18" customHeight="1">
      <c r="A38" s="159" t="s">
        <v>73</v>
      </c>
      <c r="B38" s="175" t="s">
        <v>3</v>
      </c>
      <c r="C38" s="1377"/>
      <c r="D38" s="1376"/>
      <c r="E38" s="55"/>
      <c r="F38" s="177">
        <f>+E38</f>
        <v>0</v>
      </c>
      <c r="G38" s="167"/>
      <c r="H38" s="167"/>
      <c r="I38" s="66"/>
    </row>
    <row r="39" spans="1:10" s="41" customFormat="1" ht="18" customHeight="1">
      <c r="A39" s="38">
        <v>9</v>
      </c>
      <c r="B39" s="166" t="s">
        <v>67</v>
      </c>
      <c r="C39" s="1376"/>
      <c r="D39" s="1376"/>
      <c r="E39" s="174"/>
      <c r="F39" s="174"/>
      <c r="G39" s="167"/>
      <c r="H39" s="167"/>
      <c r="I39" s="173"/>
    </row>
    <row r="40" spans="1:10" s="41" customFormat="1" ht="18" customHeight="1">
      <c r="A40" s="38">
        <v>10</v>
      </c>
      <c r="B40" s="166" t="s">
        <v>66</v>
      </c>
      <c r="C40" s="1376"/>
      <c r="D40" s="1376"/>
      <c r="E40" s="174">
        <v>1.349275</v>
      </c>
      <c r="F40" s="174"/>
      <c r="G40" s="167"/>
      <c r="H40" s="167"/>
      <c r="I40" s="173"/>
    </row>
    <row r="41" spans="1:10" s="41" customFormat="1" ht="18" customHeight="1">
      <c r="A41" s="38">
        <v>11</v>
      </c>
      <c r="B41" s="166" t="s">
        <v>4</v>
      </c>
      <c r="C41" s="1376"/>
      <c r="D41" s="1376"/>
      <c r="E41" s="174"/>
      <c r="F41" s="174"/>
      <c r="G41" s="167"/>
      <c r="H41" s="167"/>
      <c r="I41" s="173"/>
    </row>
    <row r="42" spans="1:10" s="41" customFormat="1" ht="18" customHeight="1">
      <c r="A42" s="38">
        <v>12</v>
      </c>
      <c r="B42" s="166" t="s">
        <v>68</v>
      </c>
      <c r="C42" s="1376">
        <v>350</v>
      </c>
      <c r="D42" s="1376"/>
      <c r="E42" s="174">
        <v>225.50749999999999</v>
      </c>
      <c r="F42" s="174"/>
      <c r="G42" s="167">
        <f>E42/C42*100</f>
        <v>64.430714285714288</v>
      </c>
      <c r="H42" s="167"/>
      <c r="I42" s="173"/>
      <c r="J42" s="387"/>
    </row>
    <row r="43" spans="1:10" s="41" customFormat="1" ht="18" customHeight="1">
      <c r="A43" s="38">
        <v>13</v>
      </c>
      <c r="B43" s="166" t="s">
        <v>5</v>
      </c>
      <c r="C43" s="1376"/>
      <c r="D43" s="1376"/>
      <c r="E43" s="174"/>
      <c r="F43" s="174"/>
      <c r="G43" s="167"/>
      <c r="H43" s="167"/>
      <c r="I43" s="173"/>
    </row>
    <row r="44" spans="1:10" s="41" customFormat="1" ht="18" customHeight="1">
      <c r="A44" s="38">
        <v>14</v>
      </c>
      <c r="B44" s="166" t="s">
        <v>127</v>
      </c>
      <c r="C44" s="1376"/>
      <c r="D44" s="1376"/>
      <c r="E44" s="174"/>
      <c r="F44" s="174"/>
      <c r="G44" s="167"/>
      <c r="H44" s="167"/>
      <c r="I44" s="173"/>
    </row>
    <row r="45" spans="1:10" s="41" customFormat="1" ht="18" customHeight="1">
      <c r="A45" s="38">
        <v>15</v>
      </c>
      <c r="B45" s="166" t="s">
        <v>129</v>
      </c>
      <c r="C45" s="1376"/>
      <c r="D45" s="1376"/>
      <c r="E45" s="174"/>
      <c r="F45" s="174"/>
      <c r="G45" s="167"/>
      <c r="H45" s="167"/>
      <c r="I45" s="173"/>
    </row>
    <row r="46" spans="1:10" s="41" customFormat="1" ht="18" customHeight="1">
      <c r="A46" s="38">
        <v>16</v>
      </c>
      <c r="B46" s="166" t="s">
        <v>128</v>
      </c>
      <c r="C46" s="1376">
        <v>367</v>
      </c>
      <c r="D46" s="1376"/>
      <c r="E46" s="174">
        <v>266.07799499999999</v>
      </c>
      <c r="F46" s="174">
        <v>11</v>
      </c>
      <c r="G46" s="167">
        <f>E46/C46*100</f>
        <v>72.500816076294271</v>
      </c>
      <c r="H46" s="167"/>
      <c r="I46" s="173"/>
    </row>
    <row r="47" spans="1:10" s="41" customFormat="1" ht="18" customHeight="1">
      <c r="A47" s="38">
        <v>17</v>
      </c>
      <c r="B47" s="166" t="s">
        <v>6</v>
      </c>
      <c r="C47" s="1376"/>
      <c r="D47" s="1376"/>
      <c r="E47" s="174"/>
      <c r="F47" s="174"/>
      <c r="G47" s="167"/>
      <c r="H47" s="167"/>
      <c r="I47" s="173"/>
    </row>
    <row r="48" spans="1:10" s="41" customFormat="1" ht="30.75" customHeight="1">
      <c r="A48" s="38">
        <v>18</v>
      </c>
      <c r="B48" s="166" t="s">
        <v>535</v>
      </c>
      <c r="C48" s="1376"/>
      <c r="D48" s="1376"/>
      <c r="E48" s="174"/>
      <c r="F48" s="174"/>
      <c r="G48" s="167"/>
      <c r="H48" s="167"/>
      <c r="I48" s="173"/>
    </row>
    <row r="49" spans="1:9" s="41" customFormat="1" ht="45.75" customHeight="1">
      <c r="A49" s="38">
        <v>19</v>
      </c>
      <c r="B49" s="200" t="s">
        <v>659</v>
      </c>
      <c r="C49" s="1376"/>
      <c r="D49" s="1376"/>
      <c r="E49" s="174"/>
      <c r="F49" s="174"/>
      <c r="G49" s="167"/>
      <c r="H49" s="167"/>
      <c r="I49" s="173"/>
    </row>
    <row r="50" spans="1:9" s="41" customFormat="1" ht="18" customHeight="1">
      <c r="A50" s="38">
        <v>20</v>
      </c>
      <c r="B50" s="166" t="s">
        <v>660</v>
      </c>
      <c r="C50" s="1376"/>
      <c r="D50" s="1376"/>
      <c r="E50" s="174"/>
      <c r="F50" s="174"/>
      <c r="G50" s="167"/>
      <c r="H50" s="167"/>
      <c r="I50" s="173"/>
    </row>
    <row r="51" spans="1:9" s="41" customFormat="1" ht="18" customHeight="1">
      <c r="A51" s="38">
        <v>21</v>
      </c>
      <c r="B51" s="166" t="s">
        <v>463</v>
      </c>
      <c r="C51" s="1376"/>
      <c r="D51" s="1376"/>
      <c r="E51" s="174"/>
      <c r="F51" s="174">
        <f>E51</f>
        <v>0</v>
      </c>
      <c r="G51" s="167"/>
      <c r="H51" s="167"/>
      <c r="I51" s="173"/>
    </row>
    <row r="52" spans="1:9" s="37" customFormat="1" ht="18" customHeight="1">
      <c r="A52" s="38" t="s">
        <v>149</v>
      </c>
      <c r="B52" s="166" t="s">
        <v>150</v>
      </c>
      <c r="C52" s="1377"/>
      <c r="D52" s="1376"/>
      <c r="E52" s="55"/>
      <c r="F52" s="55"/>
      <c r="G52" s="167"/>
      <c r="H52" s="167"/>
      <c r="I52" s="66"/>
    </row>
    <row r="53" spans="1:9" s="37" customFormat="1" ht="18" customHeight="1">
      <c r="A53" s="38" t="s">
        <v>64</v>
      </c>
      <c r="B53" s="166" t="s">
        <v>7</v>
      </c>
      <c r="C53" s="1377"/>
      <c r="D53" s="1376"/>
      <c r="E53" s="55"/>
      <c r="F53" s="55"/>
      <c r="G53" s="167"/>
      <c r="H53" s="167"/>
      <c r="I53" s="66"/>
    </row>
    <row r="54" spans="1:9" s="37" customFormat="1" ht="18" customHeight="1">
      <c r="A54" s="159">
        <v>1</v>
      </c>
      <c r="B54" s="170" t="s">
        <v>181</v>
      </c>
      <c r="C54" s="1377"/>
      <c r="D54" s="1376"/>
      <c r="E54" s="55"/>
      <c r="F54" s="55"/>
      <c r="G54" s="167"/>
      <c r="H54" s="167"/>
      <c r="I54" s="66"/>
    </row>
    <row r="55" spans="1:9" s="37" customFormat="1" ht="18" customHeight="1">
      <c r="A55" s="159">
        <v>2</v>
      </c>
      <c r="B55" s="170" t="s">
        <v>72</v>
      </c>
      <c r="C55" s="1377"/>
      <c r="D55" s="1376"/>
      <c r="E55" s="55"/>
      <c r="F55" s="55"/>
      <c r="G55" s="167"/>
      <c r="H55" s="167"/>
      <c r="I55" s="66"/>
    </row>
    <row r="56" spans="1:9" s="37" customFormat="1" ht="18" customHeight="1">
      <c r="A56" s="159">
        <v>3</v>
      </c>
      <c r="B56" s="170" t="s">
        <v>8</v>
      </c>
      <c r="C56" s="1377"/>
      <c r="D56" s="1376"/>
      <c r="E56" s="55"/>
      <c r="F56" s="55"/>
      <c r="G56" s="167"/>
      <c r="H56" s="167"/>
      <c r="I56" s="66"/>
    </row>
    <row r="57" spans="1:9" s="37" customFormat="1" ht="18" customHeight="1">
      <c r="A57" s="159">
        <v>4</v>
      </c>
      <c r="B57" s="170" t="s">
        <v>9</v>
      </c>
      <c r="C57" s="1377"/>
      <c r="D57" s="1376"/>
      <c r="E57" s="55"/>
      <c r="F57" s="55"/>
      <c r="G57" s="167"/>
      <c r="H57" s="167"/>
      <c r="I57" s="66"/>
    </row>
    <row r="58" spans="1:9" s="37" customFormat="1" ht="18" customHeight="1">
      <c r="A58" s="159">
        <v>5</v>
      </c>
      <c r="B58" s="170" t="s">
        <v>10</v>
      </c>
      <c r="C58" s="1377"/>
      <c r="D58" s="1376"/>
      <c r="E58" s="55"/>
      <c r="F58" s="55"/>
      <c r="G58" s="167"/>
      <c r="H58" s="167"/>
      <c r="I58" s="66"/>
    </row>
    <row r="59" spans="1:9" s="37" customFormat="1" ht="18" customHeight="1">
      <c r="A59" s="159">
        <v>6</v>
      </c>
      <c r="B59" s="170" t="s">
        <v>70</v>
      </c>
      <c r="C59" s="1377"/>
      <c r="D59" s="1376"/>
      <c r="E59" s="55"/>
      <c r="F59" s="55"/>
      <c r="G59" s="167"/>
      <c r="H59" s="167"/>
      <c r="I59" s="66"/>
    </row>
    <row r="60" spans="1:9" s="41" customFormat="1" ht="18" customHeight="1">
      <c r="A60" s="38" t="s">
        <v>65</v>
      </c>
      <c r="B60" s="166" t="s">
        <v>361</v>
      </c>
      <c r="C60" s="1376"/>
      <c r="D60" s="1376"/>
      <c r="E60" s="174"/>
      <c r="F60" s="174"/>
      <c r="G60" s="167"/>
      <c r="H60" s="167"/>
      <c r="I60" s="173"/>
    </row>
    <row r="61" spans="1:9" s="41" customFormat="1" ht="18" customHeight="1">
      <c r="A61" s="38" t="s">
        <v>69</v>
      </c>
      <c r="B61" s="166" t="s">
        <v>352</v>
      </c>
      <c r="C61" s="1376"/>
      <c r="D61" s="1376"/>
      <c r="E61" s="174"/>
      <c r="F61" s="174"/>
      <c r="G61" s="167"/>
      <c r="H61" s="167"/>
      <c r="I61" s="173"/>
    </row>
    <row r="62" spans="1:9" s="41" customFormat="1" ht="18" customHeight="1">
      <c r="A62" s="38" t="s">
        <v>317</v>
      </c>
      <c r="B62" s="166" t="s">
        <v>207</v>
      </c>
      <c r="C62" s="1376">
        <f>SUM(C64:C65)</f>
        <v>102092</v>
      </c>
      <c r="D62" s="1376">
        <f>SUM(D64:D65)</f>
        <v>102092</v>
      </c>
      <c r="E62" s="174">
        <f>E63+E66</f>
        <v>128517.68279300001</v>
      </c>
      <c r="F62" s="174">
        <f>F63+F66</f>
        <v>128479.17479300001</v>
      </c>
      <c r="G62" s="167">
        <f t="shared" ref="G62:H68" si="2">E62/C62*100</f>
        <v>125.88418562962819</v>
      </c>
      <c r="H62" s="167">
        <f t="shared" si="2"/>
        <v>125.84646670943856</v>
      </c>
      <c r="I62" s="173"/>
    </row>
    <row r="63" spans="1:9" s="41" customFormat="1" ht="18" customHeight="1">
      <c r="A63" s="38" t="s">
        <v>318</v>
      </c>
      <c r="B63" s="166" t="s">
        <v>257</v>
      </c>
      <c r="C63" s="1376">
        <f t="shared" ref="C63:D63" si="3">C64+C65</f>
        <v>102092</v>
      </c>
      <c r="D63" s="1376">
        <f t="shared" si="3"/>
        <v>102092</v>
      </c>
      <c r="E63" s="174">
        <f>E64+E65</f>
        <v>128479.17479300001</v>
      </c>
      <c r="F63" s="174">
        <f>F64+F65</f>
        <v>128479.17479300001</v>
      </c>
      <c r="G63" s="167">
        <f t="shared" si="2"/>
        <v>125.84646670943856</v>
      </c>
      <c r="H63" s="167">
        <f t="shared" si="2"/>
        <v>125.84646670943856</v>
      </c>
      <c r="I63" s="173"/>
    </row>
    <row r="64" spans="1:9" s="37" customFormat="1" ht="18" customHeight="1">
      <c r="A64" s="159">
        <v>1</v>
      </c>
      <c r="B64" s="105" t="s">
        <v>395</v>
      </c>
      <c r="C64" s="1377">
        <f>+D64</f>
        <v>58637</v>
      </c>
      <c r="D64" s="1377">
        <f>+'49'!C28</f>
        <v>58637</v>
      </c>
      <c r="E64" s="55">
        <f>+F64</f>
        <v>79223.293713000006</v>
      </c>
      <c r="F64" s="55">
        <f>+'49'!D28</f>
        <v>79223.293713000006</v>
      </c>
      <c r="G64" s="45">
        <f t="shared" si="2"/>
        <v>135.10802686528984</v>
      </c>
      <c r="H64" s="45">
        <f t="shared" si="2"/>
        <v>135.10802686528984</v>
      </c>
      <c r="I64" s="66"/>
    </row>
    <row r="65" spans="1:9" s="37" customFormat="1" ht="18" customHeight="1">
      <c r="A65" s="159">
        <v>2</v>
      </c>
      <c r="B65" s="105" t="s">
        <v>396</v>
      </c>
      <c r="C65" s="1377">
        <f>+D65</f>
        <v>43455</v>
      </c>
      <c r="D65" s="1377">
        <f>+'49'!C29</f>
        <v>43455</v>
      </c>
      <c r="E65" s="55">
        <f>+F65</f>
        <v>49255.881079999999</v>
      </c>
      <c r="F65" s="55">
        <f>+'49'!D29</f>
        <v>49255.881079999999</v>
      </c>
      <c r="G65" s="45">
        <f t="shared" si="2"/>
        <v>113.34916828903462</v>
      </c>
      <c r="H65" s="45">
        <f t="shared" si="2"/>
        <v>113.34916828903462</v>
      </c>
      <c r="I65" s="66"/>
    </row>
    <row r="66" spans="1:9" s="41" customFormat="1" ht="18" customHeight="1">
      <c r="A66" s="38" t="s">
        <v>149</v>
      </c>
      <c r="B66" s="1373" t="s">
        <v>1192</v>
      </c>
      <c r="C66" s="1376"/>
      <c r="D66" s="1376"/>
      <c r="E66" s="174">
        <v>38.508000000000003</v>
      </c>
      <c r="F66" s="1374"/>
      <c r="G66" s="45"/>
      <c r="H66" s="45"/>
      <c r="I66" s="173"/>
    </row>
    <row r="67" spans="1:9" s="41" customFormat="1" ht="22.5" customHeight="1">
      <c r="A67" s="38" t="s">
        <v>246</v>
      </c>
      <c r="B67" s="166" t="s">
        <v>11</v>
      </c>
      <c r="C67" s="1376">
        <f>D67</f>
        <v>225.5</v>
      </c>
      <c r="D67" s="1376">
        <v>225.5</v>
      </c>
      <c r="E67" s="174">
        <v>222.432593</v>
      </c>
      <c r="F67" s="174">
        <f>E67</f>
        <v>222.432593</v>
      </c>
      <c r="G67" s="45">
        <f t="shared" si="2"/>
        <v>98.639730820399109</v>
      </c>
      <c r="H67" s="45">
        <f t="shared" si="2"/>
        <v>98.639730820399109</v>
      </c>
      <c r="I67" s="173"/>
    </row>
    <row r="68" spans="1:9" s="41" customFormat="1" ht="33.75" customHeight="1">
      <c r="A68" s="56" t="s">
        <v>403</v>
      </c>
      <c r="B68" s="57" t="s">
        <v>12</v>
      </c>
      <c r="C68" s="1378">
        <f>D68</f>
        <v>14017.228999999999</v>
      </c>
      <c r="D68" s="1378">
        <v>14017.228999999999</v>
      </c>
      <c r="E68" s="178">
        <v>9537.7845269999998</v>
      </c>
      <c r="F68" s="178">
        <f>E68</f>
        <v>9537.7845269999998</v>
      </c>
      <c r="G68" s="1625">
        <f t="shared" si="2"/>
        <v>68.043295340327248</v>
      </c>
      <c r="H68" s="1625">
        <f t="shared" si="2"/>
        <v>68.043295340327248</v>
      </c>
      <c r="I68" s="173"/>
    </row>
    <row r="69" spans="1:9" ht="15.75" hidden="1" customHeight="1">
      <c r="E69" s="1677" t="s">
        <v>1037</v>
      </c>
      <c r="F69" s="1677"/>
      <c r="G69" s="1677"/>
      <c r="H69" s="1677"/>
    </row>
    <row r="70" spans="1:9" ht="15.75" hidden="1" customHeight="1">
      <c r="E70" s="1672" t="s">
        <v>233</v>
      </c>
      <c r="F70" s="1672"/>
      <c r="G70" s="1672"/>
      <c r="H70" s="1672"/>
    </row>
    <row r="71" spans="1:9" ht="15.75" hidden="1" customHeight="1">
      <c r="E71" s="1672" t="s">
        <v>234</v>
      </c>
      <c r="F71" s="1672"/>
      <c r="G71" s="1672"/>
      <c r="H71" s="1672"/>
    </row>
    <row r="72" spans="1:9" ht="15.75" hidden="1" customHeight="1">
      <c r="E72" s="1676" t="s">
        <v>151</v>
      </c>
      <c r="F72" s="1676"/>
      <c r="G72" s="1676"/>
      <c r="H72" s="1676"/>
    </row>
    <row r="73" spans="1:9" ht="2.25" hidden="1" customHeight="1">
      <c r="E73" s="1676"/>
      <c r="F73" s="1676"/>
      <c r="G73" s="1676"/>
      <c r="H73" s="1676"/>
    </row>
    <row r="74" spans="1:9" hidden="1"/>
    <row r="75" spans="1:9" hidden="1"/>
    <row r="76" spans="1:9" hidden="1"/>
    <row r="77" spans="1:9" hidden="1"/>
    <row r="78" spans="1:9" hidden="1"/>
    <row r="79" spans="1:9" ht="18.75" hidden="1" customHeight="1"/>
    <row r="80" spans="1:9" ht="23.25" hidden="1" customHeight="1">
      <c r="E80" s="1678" t="s">
        <v>666</v>
      </c>
      <c r="F80" s="1678"/>
      <c r="G80" s="1678"/>
      <c r="H80" s="1678"/>
    </row>
  </sheetData>
  <mergeCells count="14">
    <mergeCell ref="E69:H69"/>
    <mergeCell ref="E70:H70"/>
    <mergeCell ref="E71:H71"/>
    <mergeCell ref="E72:H73"/>
    <mergeCell ref="E80:H80"/>
    <mergeCell ref="G1:H1"/>
    <mergeCell ref="A2:H2"/>
    <mergeCell ref="A5:A6"/>
    <mergeCell ref="B5:B6"/>
    <mergeCell ref="C5:D5"/>
    <mergeCell ref="E5:F5"/>
    <mergeCell ref="G5:H5"/>
    <mergeCell ref="G4:H4"/>
    <mergeCell ref="A3:H3"/>
  </mergeCells>
  <phoneticPr fontId="32" type="noConversion"/>
  <pageMargins left="0.59055118110236227" right="0" top="0.55118110236220474" bottom="0.23622047244094491" header="0.19685039370078741" footer="0.19685039370078741"/>
  <pageSetup paperSize="9" scale="75" firstPageNumber="157" orientation="portrait" useFirstPageNumber="1"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G84"/>
  <sheetViews>
    <sheetView zoomScale="145" zoomScaleNormal="145" workbookViewId="0">
      <pane ySplit="5" topLeftCell="A69" activePane="bottomLeft" state="frozen"/>
      <selection pane="bottomLeft" activeCell="C50" sqref="C50"/>
    </sheetView>
  </sheetViews>
  <sheetFormatPr defaultColWidth="9.28515625" defaultRowHeight="15"/>
  <cols>
    <col min="1" max="1" width="6.42578125" style="181" customWidth="1"/>
    <col min="2" max="2" width="50.7109375" style="33" customWidth="1"/>
    <col min="3" max="3" width="15" style="1023" customWidth="1"/>
    <col min="4" max="4" width="17" style="36" customWidth="1"/>
    <col min="5" max="5" width="9.140625" style="26" customWidth="1"/>
    <col min="6" max="6" width="22.5703125" style="33" customWidth="1"/>
    <col min="7" max="7" width="24" style="33" customWidth="1"/>
    <col min="8" max="16384" width="9.28515625" style="33"/>
  </cols>
  <sheetData>
    <row r="1" spans="1:6" ht="23.25" customHeight="1">
      <c r="A1" s="1679" t="str">
        <f>'48.QTCĐNSĐP'!A1</f>
        <v>UBND xã Trần Phú</v>
      </c>
      <c r="B1" s="1679"/>
      <c r="D1" s="1671" t="s">
        <v>1106</v>
      </c>
      <c r="E1" s="1671"/>
    </row>
    <row r="2" spans="1:6" ht="29.25" customHeight="1">
      <c r="A2" s="1672" t="s">
        <v>1373</v>
      </c>
      <c r="B2" s="1672"/>
      <c r="C2" s="1672"/>
      <c r="D2" s="1672"/>
      <c r="E2" s="1672"/>
    </row>
    <row r="3" spans="1:6" ht="29.25" customHeight="1">
      <c r="A3" s="1676" t="str">
        <f>'48.QTCĐNSĐP'!A3:F3</f>
        <v>(Kèm theo Quyết định số      /QĐ-UBND ngày 15/04/2026 nhân dân xã Trần Phú)</v>
      </c>
      <c r="B3" s="1676"/>
      <c r="C3" s="1676"/>
      <c r="D3" s="1676"/>
      <c r="E3" s="1676"/>
    </row>
    <row r="4" spans="1:6" ht="15.75">
      <c r="E4" s="199" t="s">
        <v>312</v>
      </c>
    </row>
    <row r="5" spans="1:6" ht="47.25" customHeight="1">
      <c r="A5" s="1543" t="s">
        <v>313</v>
      </c>
      <c r="B5" s="1543" t="s">
        <v>314</v>
      </c>
      <c r="C5" s="1554" t="s">
        <v>315</v>
      </c>
      <c r="D5" s="1544" t="s">
        <v>146</v>
      </c>
      <c r="E5" s="1555" t="s">
        <v>167</v>
      </c>
    </row>
    <row r="6" spans="1:6" s="593" customFormat="1" ht="12" customHeight="1">
      <c r="A6" s="800" t="s">
        <v>316</v>
      </c>
      <c r="B6" s="800" t="s">
        <v>317</v>
      </c>
      <c r="C6" s="800">
        <v>1</v>
      </c>
      <c r="D6" s="800">
        <v>2</v>
      </c>
      <c r="E6" s="801" t="s">
        <v>236</v>
      </c>
    </row>
    <row r="7" spans="1:6" s="1234" customFormat="1" ht="18.75" customHeight="1">
      <c r="A7" s="1516"/>
      <c r="B7" s="1517" t="s">
        <v>399</v>
      </c>
      <c r="C7" s="1518">
        <f>C8+C24+C71</f>
        <v>116334.72900000001</v>
      </c>
      <c r="D7" s="1518">
        <f>D8+D24+D71</f>
        <v>138250.391913</v>
      </c>
      <c r="E7" s="1519">
        <f>D7/C7*100</f>
        <v>118.8384527143223</v>
      </c>
      <c r="F7" s="1233"/>
    </row>
    <row r="8" spans="1:6" s="1234" customFormat="1" ht="18.75" customHeight="1">
      <c r="A8" s="1516" t="s">
        <v>316</v>
      </c>
      <c r="B8" s="1517" t="s">
        <v>182</v>
      </c>
      <c r="C8" s="1518">
        <f>C9+C17+C21+C22+C23</f>
        <v>81162.72967500001</v>
      </c>
      <c r="D8" s="1518">
        <f>D9+D17+D21+D22+D23</f>
        <v>68975.246257999999</v>
      </c>
      <c r="E8" s="1519">
        <f t="shared" ref="E8:E34" si="0">D8/C8*100</f>
        <v>84.983891663325821</v>
      </c>
    </row>
    <row r="9" spans="1:6" s="1234" customFormat="1" ht="15.75" customHeight="1">
      <c r="A9" s="1516" t="s">
        <v>318</v>
      </c>
      <c r="B9" s="1517" t="s">
        <v>77</v>
      </c>
      <c r="C9" s="1518">
        <f>+C10</f>
        <v>2884.5206750000002</v>
      </c>
      <c r="D9" s="1518">
        <f>D10</f>
        <v>2729.8000470000002</v>
      </c>
      <c r="E9" s="1519">
        <f t="shared" si="0"/>
        <v>94.636175454003293</v>
      </c>
    </row>
    <row r="10" spans="1:6" s="1181" customFormat="1" ht="15.75" customHeight="1">
      <c r="A10" s="1520">
        <v>1</v>
      </c>
      <c r="B10" s="1521" t="s">
        <v>237</v>
      </c>
      <c r="C10" s="1522">
        <f>+C12+C13+C14</f>
        <v>2884.5206750000002</v>
      </c>
      <c r="D10" s="1522">
        <f>+D12+D13+D14</f>
        <v>2729.8000470000002</v>
      </c>
      <c r="E10" s="1523">
        <f t="shared" si="0"/>
        <v>94.636175454003293</v>
      </c>
    </row>
    <row r="11" spans="1:6" ht="15.75" customHeight="1">
      <c r="A11" s="1520"/>
      <c r="B11" s="1524" t="s">
        <v>1108</v>
      </c>
      <c r="C11" s="1522"/>
      <c r="D11" s="1522"/>
      <c r="E11" s="1523"/>
    </row>
    <row r="12" spans="1:6" ht="30">
      <c r="A12" s="1520"/>
      <c r="B12" s="1528" t="s">
        <v>1177</v>
      </c>
      <c r="C12" s="1550">
        <f>'55'!C12</f>
        <v>2127.7909790000003</v>
      </c>
      <c r="D12" s="1550">
        <f>'53'!H13</f>
        <v>2019.1471680000002</v>
      </c>
      <c r="E12" s="1523">
        <f t="shared" si="0"/>
        <v>94.894056226751204</v>
      </c>
    </row>
    <row r="13" spans="1:6" ht="30">
      <c r="A13" s="1525" t="s">
        <v>73</v>
      </c>
      <c r="B13" s="1528" t="s">
        <v>1176</v>
      </c>
      <c r="C13" s="1550">
        <f>'55'!C13</f>
        <v>698.37569599999995</v>
      </c>
      <c r="D13" s="1550">
        <f>'53'!H14</f>
        <v>690.80687899999998</v>
      </c>
      <c r="E13" s="1523">
        <f t="shared" si="0"/>
        <v>98.916225601298706</v>
      </c>
    </row>
    <row r="14" spans="1:6" ht="30">
      <c r="A14" s="1525" t="s">
        <v>73</v>
      </c>
      <c r="B14" s="1528" t="s">
        <v>1346</v>
      </c>
      <c r="C14" s="1550">
        <f>'55'!C14</f>
        <v>58.353999999999999</v>
      </c>
      <c r="D14" s="1550">
        <f>'53'!H15</f>
        <v>19.846</v>
      </c>
      <c r="E14" s="1523">
        <f t="shared" si="0"/>
        <v>34.009665147204991</v>
      </c>
    </row>
    <row r="15" spans="1:6" ht="72.75" customHeight="1">
      <c r="A15" s="1520">
        <v>2</v>
      </c>
      <c r="B15" s="1526" t="s">
        <v>293</v>
      </c>
      <c r="C15" s="1522"/>
      <c r="D15" s="1522"/>
      <c r="E15" s="1523"/>
    </row>
    <row r="16" spans="1:6" ht="21" customHeight="1">
      <c r="A16" s="1520">
        <v>3</v>
      </c>
      <c r="B16" s="1521" t="s">
        <v>75</v>
      </c>
      <c r="C16" s="1522"/>
      <c r="D16" s="1522"/>
      <c r="E16" s="1523"/>
    </row>
    <row r="17" spans="1:7" s="1234" customFormat="1" ht="21" customHeight="1">
      <c r="A17" s="1516" t="s">
        <v>149</v>
      </c>
      <c r="B17" s="1517" t="s">
        <v>471</v>
      </c>
      <c r="C17" s="1518">
        <f>'48.QTCĐNSĐP'!C21</f>
        <v>76794.209000000003</v>
      </c>
      <c r="D17" s="1518">
        <v>64327.264141</v>
      </c>
      <c r="E17" s="1519">
        <f t="shared" si="0"/>
        <v>83.765774761740161</v>
      </c>
      <c r="F17" s="1235"/>
    </row>
    <row r="18" spans="1:7" s="1181" customFormat="1" ht="21" customHeight="1">
      <c r="A18" s="1520"/>
      <c r="B18" s="1524" t="s">
        <v>250</v>
      </c>
      <c r="C18" s="1522"/>
      <c r="D18" s="1522"/>
      <c r="E18" s="1519"/>
    </row>
    <row r="19" spans="1:7" s="1552" customFormat="1" ht="21" customHeight="1">
      <c r="A19" s="1525"/>
      <c r="B19" s="1524" t="s">
        <v>1110</v>
      </c>
      <c r="C19" s="1591">
        <v>45713.53</v>
      </c>
      <c r="D19" s="1592">
        <v>45791.541488000003</v>
      </c>
      <c r="E19" s="1551">
        <f t="shared" si="0"/>
        <v>100.1706529511066</v>
      </c>
    </row>
    <row r="20" spans="1:7" ht="21" customHeight="1">
      <c r="A20" s="1520"/>
      <c r="B20" s="1524" t="s">
        <v>1109</v>
      </c>
      <c r="C20" s="1522"/>
      <c r="D20" s="1522"/>
      <c r="E20" s="1523"/>
    </row>
    <row r="21" spans="1:7" s="39" customFormat="1" ht="21" customHeight="1">
      <c r="A21" s="1516" t="s">
        <v>64</v>
      </c>
      <c r="B21" s="1517" t="s">
        <v>400</v>
      </c>
      <c r="C21" s="1518">
        <f>'48.QTCĐNSĐP'!C24</f>
        <v>1484</v>
      </c>
      <c r="D21" s="1518">
        <v>1141.7041400000001</v>
      </c>
      <c r="E21" s="1519">
        <f t="shared" si="0"/>
        <v>76.934241239892188</v>
      </c>
    </row>
    <row r="22" spans="1:7" ht="21" customHeight="1">
      <c r="A22" s="1516" t="s">
        <v>65</v>
      </c>
      <c r="B22" s="1517" t="s">
        <v>497</v>
      </c>
      <c r="C22" s="1522"/>
      <c r="D22" s="1522"/>
      <c r="E22" s="1523"/>
    </row>
    <row r="23" spans="1:7" ht="21" customHeight="1">
      <c r="A23" s="1516" t="s">
        <v>69</v>
      </c>
      <c r="B23" s="1517" t="s">
        <v>351</v>
      </c>
      <c r="C23" s="1518"/>
      <c r="D23" s="1518">
        <f>'48.QTCĐNSĐP'!D32</f>
        <v>776.47793000000001</v>
      </c>
      <c r="E23" s="1523"/>
    </row>
    <row r="24" spans="1:7" s="1234" customFormat="1" ht="21" customHeight="1">
      <c r="A24" s="1516" t="s">
        <v>317</v>
      </c>
      <c r="B24" s="1517" t="s">
        <v>238</v>
      </c>
      <c r="C24" s="1518">
        <f>+C25+C35+C36</f>
        <v>35171.999324999997</v>
      </c>
      <c r="D24" s="1518">
        <f>+D25+D35+D36</f>
        <v>57610.657694000009</v>
      </c>
      <c r="E24" s="1519">
        <f>D24/C24*100</f>
        <v>163.79693733546384</v>
      </c>
    </row>
    <row r="25" spans="1:7" s="1234" customFormat="1" ht="21" customHeight="1">
      <c r="A25" s="1516" t="s">
        <v>318</v>
      </c>
      <c r="B25" s="1517" t="s">
        <v>499</v>
      </c>
      <c r="C25" s="1518">
        <f>C26+C29+C32</f>
        <v>31684.115612999998</v>
      </c>
      <c r="D25" s="1518">
        <f>D26+D29+D32</f>
        <v>29126.469160000001</v>
      </c>
      <c r="E25" s="1519">
        <f t="shared" si="0"/>
        <v>91.927669737606323</v>
      </c>
      <c r="F25" s="1236"/>
      <c r="G25" s="1237"/>
    </row>
    <row r="26" spans="1:7" s="1181" customFormat="1" ht="36" customHeight="1">
      <c r="A26" s="1516">
        <v>1</v>
      </c>
      <c r="B26" s="1527" t="s">
        <v>674</v>
      </c>
      <c r="C26" s="1518">
        <f>C27+C28</f>
        <v>2606.3011839999999</v>
      </c>
      <c r="D26" s="1518">
        <f>D27+D28</f>
        <v>2178.838612</v>
      </c>
      <c r="E26" s="1519">
        <f t="shared" si="0"/>
        <v>83.598880489170668</v>
      </c>
    </row>
    <row r="27" spans="1:7" s="1552" customFormat="1" ht="21" customHeight="1">
      <c r="A27" s="1525" t="s">
        <v>62</v>
      </c>
      <c r="B27" s="1528" t="s">
        <v>61</v>
      </c>
      <c r="C27" s="1550"/>
      <c r="D27" s="1550"/>
      <c r="E27" s="1551"/>
    </row>
    <row r="28" spans="1:7" s="1553" customFormat="1" ht="21" customHeight="1">
      <c r="A28" s="1525" t="s">
        <v>62</v>
      </c>
      <c r="B28" s="1528" t="s">
        <v>116</v>
      </c>
      <c r="C28" s="1550">
        <f>'53'!E28</f>
        <v>2606.3011839999999</v>
      </c>
      <c r="D28" s="1550">
        <f>+'53'!F28</f>
        <v>2178.838612</v>
      </c>
      <c r="E28" s="1551">
        <f t="shared" si="0"/>
        <v>83.598880489170668</v>
      </c>
    </row>
    <row r="29" spans="1:7" s="1181" customFormat="1" ht="36.75" customHeight="1">
      <c r="A29" s="1516">
        <v>2</v>
      </c>
      <c r="B29" s="1527" t="s">
        <v>665</v>
      </c>
      <c r="C29" s="1518">
        <f>C30+C31</f>
        <v>3343.5129580000003</v>
      </c>
      <c r="D29" s="1518">
        <f>D30+D31</f>
        <v>3180.7089999999998</v>
      </c>
      <c r="E29" s="1519">
        <f t="shared" si="0"/>
        <v>95.130751396956299</v>
      </c>
    </row>
    <row r="30" spans="1:7" s="1552" customFormat="1" ht="21" customHeight="1">
      <c r="A30" s="1525" t="s">
        <v>62</v>
      </c>
      <c r="B30" s="1528" t="s">
        <v>61</v>
      </c>
      <c r="C30" s="1550">
        <v>2883.7910000000002</v>
      </c>
      <c r="D30" s="1550">
        <v>2883.3989999999999</v>
      </c>
      <c r="E30" s="1551">
        <f t="shared" si="0"/>
        <v>99.986406781906169</v>
      </c>
    </row>
    <row r="31" spans="1:7" s="1552" customFormat="1" ht="21" customHeight="1">
      <c r="A31" s="1525" t="s">
        <v>62</v>
      </c>
      <c r="B31" s="1528" t="s">
        <v>116</v>
      </c>
      <c r="C31" s="1550">
        <f>'53'!E31</f>
        <v>459.72195799999997</v>
      </c>
      <c r="D31" s="1550">
        <f>+'53'!F31</f>
        <v>297.31</v>
      </c>
      <c r="E31" s="1551">
        <f t="shared" si="0"/>
        <v>64.671698801039227</v>
      </c>
    </row>
    <row r="32" spans="1:7" s="1181" customFormat="1" ht="36" customHeight="1">
      <c r="A32" s="1516">
        <v>3</v>
      </c>
      <c r="B32" s="1527" t="s">
        <v>661</v>
      </c>
      <c r="C32" s="1518">
        <f>SUM(C33:C34)</f>
        <v>25734.301470999999</v>
      </c>
      <c r="D32" s="1518">
        <f>SUM(D33:D34)</f>
        <v>23766.921547999998</v>
      </c>
      <c r="E32" s="1519">
        <f t="shared" si="0"/>
        <v>92.355028850435119</v>
      </c>
    </row>
    <row r="33" spans="1:5" s="1552" customFormat="1" ht="24" customHeight="1">
      <c r="A33" s="1525" t="s">
        <v>62</v>
      </c>
      <c r="B33" s="1528" t="s">
        <v>61</v>
      </c>
      <c r="C33" s="1550">
        <f>'53'!C33</f>
        <v>16399.306439</v>
      </c>
      <c r="D33" s="1550">
        <f>+'53'!F33</f>
        <v>15373.763094</v>
      </c>
      <c r="E33" s="1551">
        <f t="shared" si="0"/>
        <v>93.746422455030753</v>
      </c>
    </row>
    <row r="34" spans="1:5" s="1552" customFormat="1" ht="24" customHeight="1">
      <c r="A34" s="1525" t="s">
        <v>62</v>
      </c>
      <c r="B34" s="1528" t="s">
        <v>116</v>
      </c>
      <c r="C34" s="1550">
        <f>'53'!C34</f>
        <v>9334.9950319999989</v>
      </c>
      <c r="D34" s="1550">
        <f>+'53'!F34</f>
        <v>8393.1584540000003</v>
      </c>
      <c r="E34" s="1551">
        <f t="shared" si="0"/>
        <v>89.910690099229626</v>
      </c>
    </row>
    <row r="35" spans="1:5" s="1234" customFormat="1" ht="24" customHeight="1">
      <c r="A35" s="1516" t="s">
        <v>149</v>
      </c>
      <c r="B35" s="1527" t="s">
        <v>1111</v>
      </c>
      <c r="C35" s="1518"/>
      <c r="D35" s="1518"/>
      <c r="E35" s="1523"/>
    </row>
    <row r="36" spans="1:5" s="1234" customFormat="1" ht="25.5" customHeight="1">
      <c r="A36" s="1516" t="s">
        <v>64</v>
      </c>
      <c r="B36" s="1517" t="s">
        <v>541</v>
      </c>
      <c r="C36" s="1518">
        <f>+C37+C38</f>
        <v>3487.8837119999998</v>
      </c>
      <c r="D36" s="1518">
        <f>+D37+D38</f>
        <v>28484.188534000004</v>
      </c>
      <c r="E36" s="1519">
        <f>D36/C36*100</f>
        <v>816.66107261548541</v>
      </c>
    </row>
    <row r="37" spans="1:5" s="1181" customFormat="1" ht="24.75" customHeight="1">
      <c r="A37" s="1516" t="s">
        <v>117</v>
      </c>
      <c r="B37" s="1517" t="s">
        <v>61</v>
      </c>
      <c r="C37" s="1518"/>
      <c r="D37" s="1518"/>
      <c r="E37" s="1519"/>
    </row>
    <row r="38" spans="1:5" s="1181" customFormat="1" ht="24.75" customHeight="1">
      <c r="A38" s="1516" t="s">
        <v>117</v>
      </c>
      <c r="B38" s="1517" t="s">
        <v>116</v>
      </c>
      <c r="C38" s="1518">
        <v>3487.8837119999998</v>
      </c>
      <c r="D38" s="1518">
        <f>SUM(D39:D70)</f>
        <v>28484.188534000004</v>
      </c>
      <c r="E38" s="1519">
        <f t="shared" ref="E38" si="1">D38/C38*100</f>
        <v>816.66107261548541</v>
      </c>
    </row>
    <row r="39" spans="1:5" s="1181" customFormat="1" ht="45">
      <c r="A39" s="1516"/>
      <c r="B39" s="1556" t="s">
        <v>1353</v>
      </c>
      <c r="C39" s="1518"/>
      <c r="D39" s="1522">
        <v>2137.377</v>
      </c>
      <c r="E39" s="1519"/>
    </row>
    <row r="40" spans="1:5" s="1181" customFormat="1" ht="45">
      <c r="A40" s="1516"/>
      <c r="B40" s="1556" t="s">
        <v>1354</v>
      </c>
      <c r="C40" s="1518"/>
      <c r="D40" s="1522">
        <v>497.86</v>
      </c>
      <c r="E40" s="1519"/>
    </row>
    <row r="41" spans="1:5" s="1181" customFormat="1" ht="45">
      <c r="A41" s="1516"/>
      <c r="B41" s="1556" t="s">
        <v>1355</v>
      </c>
      <c r="C41" s="1518"/>
      <c r="D41" s="1522">
        <v>89.367999999999995</v>
      </c>
      <c r="E41" s="1519"/>
    </row>
    <row r="42" spans="1:5" s="1181" customFormat="1" ht="30">
      <c r="A42" s="1516"/>
      <c r="B42" s="1526" t="s">
        <v>1035</v>
      </c>
      <c r="C42" s="1518"/>
      <c r="D42" s="1522">
        <v>2306.9232000000002</v>
      </c>
      <c r="E42" s="1519"/>
    </row>
    <row r="43" spans="1:5" s="1181" customFormat="1">
      <c r="A43" s="1516"/>
      <c r="B43" s="1526" t="s">
        <v>597</v>
      </c>
      <c r="C43" s="1518"/>
      <c r="D43" s="1522">
        <v>2730.35</v>
      </c>
      <c r="E43" s="1519"/>
    </row>
    <row r="44" spans="1:5" s="1181" customFormat="1">
      <c r="A44" s="1516"/>
      <c r="B44" s="1526" t="s">
        <v>94</v>
      </c>
      <c r="C44" s="1518"/>
      <c r="D44" s="1522">
        <v>22.5</v>
      </c>
      <c r="E44" s="1519"/>
    </row>
    <row r="45" spans="1:5" s="1181" customFormat="1" ht="30">
      <c r="A45" s="1516"/>
      <c r="B45" s="1526" t="s">
        <v>1030</v>
      </c>
      <c r="C45" s="1518"/>
      <c r="D45" s="1522">
        <v>88.451999999999998</v>
      </c>
      <c r="E45" s="1519"/>
    </row>
    <row r="46" spans="1:5" s="1181" customFormat="1" ht="30">
      <c r="A46" s="1516"/>
      <c r="B46" s="1526" t="s">
        <v>537</v>
      </c>
      <c r="C46" s="1518"/>
      <c r="D46" s="1522">
        <v>0.88564100000000001</v>
      </c>
      <c r="E46" s="1519"/>
    </row>
    <row r="47" spans="1:5" s="1181" customFormat="1" ht="30">
      <c r="A47" s="1516"/>
      <c r="B47" s="1526" t="s">
        <v>1356</v>
      </c>
      <c r="C47" s="1518"/>
      <c r="D47" s="1522">
        <v>175.89308700000001</v>
      </c>
      <c r="E47" s="1519"/>
    </row>
    <row r="48" spans="1:5" s="1181" customFormat="1">
      <c r="A48" s="1516"/>
      <c r="B48" s="1526" t="s">
        <v>662</v>
      </c>
      <c r="C48" s="1518"/>
      <c r="D48" s="1522">
        <v>384.32220000000001</v>
      </c>
      <c r="E48" s="1519"/>
    </row>
    <row r="49" spans="1:5" s="1181" customFormat="1">
      <c r="A49" s="1516"/>
      <c r="B49" s="1526" t="s">
        <v>663</v>
      </c>
      <c r="C49" s="1518"/>
      <c r="D49" s="1522">
        <v>0.76546800000000004</v>
      </c>
      <c r="E49" s="1519"/>
    </row>
    <row r="50" spans="1:5" s="1181" customFormat="1" ht="30">
      <c r="A50" s="1516"/>
      <c r="B50" s="1556" t="s">
        <v>1390</v>
      </c>
      <c r="C50" s="1518"/>
      <c r="D50" s="1522">
        <v>50.696100000000001</v>
      </c>
      <c r="E50" s="1519"/>
    </row>
    <row r="51" spans="1:5" s="1181" customFormat="1" ht="30">
      <c r="A51" s="1516"/>
      <c r="B51" s="1526" t="s">
        <v>693</v>
      </c>
      <c r="C51" s="1518"/>
      <c r="D51" s="1522">
        <v>36.299999999999997</v>
      </c>
      <c r="E51" s="1519"/>
    </row>
    <row r="52" spans="1:5" s="1181" customFormat="1" ht="30">
      <c r="A52" s="1516"/>
      <c r="B52" s="1557" t="s">
        <v>1357</v>
      </c>
      <c r="C52" s="1518"/>
      <c r="D52" s="1522">
        <v>131.19999999999999</v>
      </c>
      <c r="E52" s="1519"/>
    </row>
    <row r="53" spans="1:5" s="1181" customFormat="1">
      <c r="A53" s="1516"/>
      <c r="B53" s="1526" t="s">
        <v>1015</v>
      </c>
      <c r="C53" s="1518"/>
      <c r="D53" s="1522">
        <v>25.9</v>
      </c>
      <c r="E53" s="1519"/>
    </row>
    <row r="54" spans="1:5" s="1181" customFormat="1" ht="60">
      <c r="A54" s="1516"/>
      <c r="B54" s="1558" t="s">
        <v>1358</v>
      </c>
      <c r="C54" s="1518"/>
      <c r="D54" s="1559">
        <v>2952.2190000000001</v>
      </c>
      <c r="E54" s="1519"/>
    </row>
    <row r="55" spans="1:5" s="1181" customFormat="1" ht="75">
      <c r="A55" s="1516"/>
      <c r="B55" s="1558" t="s">
        <v>1359</v>
      </c>
      <c r="C55" s="1518"/>
      <c r="D55" s="1559">
        <v>748.55399999999997</v>
      </c>
      <c r="E55" s="1519"/>
    </row>
    <row r="56" spans="1:5" s="1181" customFormat="1" ht="45">
      <c r="A56" s="1516"/>
      <c r="B56" s="1558" t="s">
        <v>1360</v>
      </c>
      <c r="C56" s="1518"/>
      <c r="D56" s="1559">
        <v>702.9</v>
      </c>
      <c r="E56" s="1519"/>
    </row>
    <row r="57" spans="1:5" s="1181" customFormat="1" ht="60">
      <c r="A57" s="1516"/>
      <c r="B57" s="1558" t="s">
        <v>1361</v>
      </c>
      <c r="C57" s="1518"/>
      <c r="D57" s="1559">
        <v>908.31487500000003</v>
      </c>
      <c r="E57" s="1519"/>
    </row>
    <row r="58" spans="1:5" s="1181" customFormat="1" ht="30">
      <c r="A58" s="1516"/>
      <c r="B58" s="1558" t="s">
        <v>1362</v>
      </c>
      <c r="C58" s="1518"/>
      <c r="D58" s="1559">
        <v>950.54399999999998</v>
      </c>
      <c r="E58" s="1519"/>
    </row>
    <row r="59" spans="1:5" s="1181" customFormat="1" ht="60">
      <c r="A59" s="1516"/>
      <c r="B59" s="1558" t="s">
        <v>1363</v>
      </c>
      <c r="C59" s="1518"/>
      <c r="D59" s="1559">
        <v>2965.6648129999999</v>
      </c>
      <c r="E59" s="1519"/>
    </row>
    <row r="60" spans="1:5" s="1181" customFormat="1" ht="75">
      <c r="A60" s="1516"/>
      <c r="B60" s="1558" t="s">
        <v>1364</v>
      </c>
      <c r="C60" s="1518"/>
      <c r="D60" s="1559">
        <v>1753.28925</v>
      </c>
      <c r="E60" s="1519"/>
    </row>
    <row r="61" spans="1:5" s="1181" customFormat="1" ht="60">
      <c r="A61" s="1516"/>
      <c r="B61" s="1558" t="s">
        <v>1387</v>
      </c>
      <c r="C61" s="1518"/>
      <c r="D61" s="1559">
        <v>143.20259999999999</v>
      </c>
      <c r="E61" s="1519"/>
    </row>
    <row r="62" spans="1:5" s="1181" customFormat="1" ht="45">
      <c r="A62" s="1516"/>
      <c r="B62" s="1558" t="s">
        <v>1351</v>
      </c>
      <c r="C62" s="1518"/>
      <c r="D62" s="1559">
        <v>10</v>
      </c>
      <c r="E62" s="1519"/>
    </row>
    <row r="63" spans="1:5" s="1181" customFormat="1" ht="60">
      <c r="A63" s="1516"/>
      <c r="B63" s="1558" t="s">
        <v>1352</v>
      </c>
      <c r="C63" s="1518"/>
      <c r="D63" s="1559">
        <v>1489.0605</v>
      </c>
      <c r="E63" s="1519"/>
    </row>
    <row r="64" spans="1:5" s="1181" customFormat="1" ht="30">
      <c r="A64" s="1516"/>
      <c r="B64" s="1558" t="s">
        <v>1371</v>
      </c>
      <c r="C64" s="1518"/>
      <c r="D64" s="1559">
        <v>2534.7240499999998</v>
      </c>
      <c r="E64" s="1519"/>
    </row>
    <row r="65" spans="1:5" s="1181" customFormat="1" ht="45">
      <c r="A65" s="1516"/>
      <c r="B65" s="1558" t="s">
        <v>1370</v>
      </c>
      <c r="C65" s="1518"/>
      <c r="D65" s="1559">
        <v>930</v>
      </c>
      <c r="E65" s="1519"/>
    </row>
    <row r="66" spans="1:5" s="1181" customFormat="1" ht="45">
      <c r="A66" s="1516"/>
      <c r="B66" s="1558" t="s">
        <v>1369</v>
      </c>
      <c r="C66" s="1518"/>
      <c r="D66" s="1522">
        <v>2969.83</v>
      </c>
      <c r="E66" s="1519"/>
    </row>
    <row r="67" spans="1:5" s="1181" customFormat="1" ht="45">
      <c r="A67" s="1516"/>
      <c r="B67" s="1558" t="s">
        <v>1368</v>
      </c>
      <c r="C67" s="1518"/>
      <c r="D67" s="1559">
        <v>123</v>
      </c>
      <c r="E67" s="1519"/>
    </row>
    <row r="68" spans="1:5" s="1181" customFormat="1" ht="45">
      <c r="A68" s="1516"/>
      <c r="B68" s="1558" t="s">
        <v>1367</v>
      </c>
      <c r="C68" s="1518"/>
      <c r="D68" s="1559">
        <v>60</v>
      </c>
      <c r="E68" s="1519"/>
    </row>
    <row r="69" spans="1:5" s="1234" customFormat="1" ht="75">
      <c r="A69" s="1520"/>
      <c r="B69" s="1558" t="s">
        <v>1366</v>
      </c>
      <c r="C69" s="1522"/>
      <c r="D69" s="1559">
        <v>196</v>
      </c>
      <c r="E69" s="1523"/>
    </row>
    <row r="70" spans="1:5" s="1234" customFormat="1" ht="45">
      <c r="A70" s="1520"/>
      <c r="B70" s="1558" t="s">
        <v>1365</v>
      </c>
      <c r="C70" s="1522"/>
      <c r="D70" s="1559">
        <v>368.09275000000002</v>
      </c>
      <c r="E70" s="1523"/>
    </row>
    <row r="71" spans="1:5" ht="18.75" customHeight="1">
      <c r="A71" s="1516" t="s">
        <v>246</v>
      </c>
      <c r="B71" s="1517" t="s">
        <v>333</v>
      </c>
      <c r="C71" s="1518"/>
      <c r="D71" s="1518">
        <f>+'49'!D38</f>
        <v>11664.487961000001</v>
      </c>
      <c r="E71" s="1529"/>
    </row>
    <row r="72" spans="1:5" hidden="1">
      <c r="C72" s="1024"/>
      <c r="D72" s="33"/>
      <c r="E72" s="33"/>
    </row>
    <row r="73" spans="1:5" ht="15.75" hidden="1">
      <c r="C73" s="1676">
        <f>+'49'!C38:E38</f>
        <v>0</v>
      </c>
      <c r="D73" s="1676"/>
      <c r="E73" s="1676"/>
    </row>
    <row r="74" spans="1:5" ht="15.75" hidden="1">
      <c r="C74" s="1672" t="s">
        <v>233</v>
      </c>
      <c r="D74" s="1672"/>
      <c r="E74" s="1672"/>
    </row>
    <row r="75" spans="1:5" ht="15.75" hidden="1">
      <c r="C75" s="1672" t="s">
        <v>234</v>
      </c>
      <c r="D75" s="1672"/>
      <c r="E75" s="1672"/>
    </row>
    <row r="76" spans="1:5" ht="15.75" hidden="1">
      <c r="C76" s="1676" t="s">
        <v>151</v>
      </c>
      <c r="D76" s="1676"/>
      <c r="E76" s="1676"/>
    </row>
    <row r="77" spans="1:5" hidden="1">
      <c r="C77" s="1024"/>
      <c r="D77" s="33"/>
    </row>
    <row r="78" spans="1:5" hidden="1">
      <c r="C78" s="1024"/>
      <c r="D78" s="33"/>
    </row>
    <row r="79" spans="1:5" hidden="1">
      <c r="C79" s="1024"/>
      <c r="D79" s="33"/>
    </row>
    <row r="80" spans="1:5" hidden="1">
      <c r="C80" s="1024"/>
      <c r="D80" s="33"/>
    </row>
    <row r="81" spans="3:5" hidden="1">
      <c r="C81" s="1024"/>
      <c r="D81" s="33"/>
    </row>
    <row r="82" spans="3:5" hidden="1">
      <c r="C82" s="1024"/>
      <c r="D82" s="33"/>
    </row>
    <row r="83" spans="3:5" ht="18.75" hidden="1">
      <c r="C83" s="1678" t="e">
        <f>+'49'!C47:E47</f>
        <v>#REF!</v>
      </c>
      <c r="D83" s="1678"/>
      <c r="E83" s="1678"/>
    </row>
    <row r="84" spans="3:5" hidden="1"/>
  </sheetData>
  <mergeCells count="9">
    <mergeCell ref="C83:E83"/>
    <mergeCell ref="D1:E1"/>
    <mergeCell ref="A2:E2"/>
    <mergeCell ref="C74:E74"/>
    <mergeCell ref="C75:E75"/>
    <mergeCell ref="C76:E76"/>
    <mergeCell ref="C73:E73"/>
    <mergeCell ref="A1:B1"/>
    <mergeCell ref="A3:E3"/>
  </mergeCells>
  <phoneticPr fontId="32" type="noConversion"/>
  <pageMargins left="0.45" right="0.2" top="0.3" bottom="0.38" header="0.18" footer="0.23"/>
  <pageSetup paperSize="9" firstPageNumber="157" orientation="portrait"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J58"/>
  <sheetViews>
    <sheetView topLeftCell="A34" workbookViewId="0">
      <selection activeCell="G42" sqref="G42"/>
    </sheetView>
  </sheetViews>
  <sheetFormatPr defaultColWidth="9.28515625" defaultRowHeight="15"/>
  <cols>
    <col min="1" max="1" width="6.28515625" style="33" customWidth="1"/>
    <col min="2" max="2" width="37.7109375" style="33" customWidth="1"/>
    <col min="3" max="3" width="14.85546875" style="373" customWidth="1"/>
    <col min="4" max="4" width="14.85546875" style="36" customWidth="1"/>
    <col min="5" max="5" width="13.7109375" style="51" customWidth="1"/>
    <col min="6" max="6" width="9.28515625" style="33" customWidth="1"/>
    <col min="7" max="7" width="19.5703125" style="63" customWidth="1"/>
    <col min="8" max="8" width="18.28515625" style="63" bestFit="1" customWidth="1"/>
    <col min="9" max="9" width="16.28515625" style="33" bestFit="1" customWidth="1"/>
    <col min="10" max="16384" width="9.28515625" style="33"/>
  </cols>
  <sheetData>
    <row r="1" spans="1:10" ht="23.25" customHeight="1">
      <c r="A1" s="34" t="str">
        <f>'48.QTCĐNSĐP'!A1</f>
        <v>UBND xã Trần Phú</v>
      </c>
      <c r="E1" s="1680" t="s">
        <v>1193</v>
      </c>
      <c r="F1" s="1680"/>
    </row>
    <row r="2" spans="1:10" ht="48.75" customHeight="1">
      <c r="A2" s="1681" t="s">
        <v>1374</v>
      </c>
      <c r="B2" s="1681"/>
      <c r="C2" s="1681"/>
      <c r="D2" s="1681"/>
      <c r="E2" s="1681"/>
      <c r="F2" s="1681"/>
    </row>
    <row r="3" spans="1:10" ht="48.75" customHeight="1">
      <c r="A3" s="1676" t="str">
        <f>'48.QTCĐNSĐP'!A3:F3</f>
        <v>(Kèm theo Quyết định số      /QĐ-UBND ngày 15/04/2026 nhân dân xã Trần Phú)</v>
      </c>
      <c r="B3" s="1676"/>
      <c r="C3" s="1676"/>
      <c r="D3" s="1676"/>
      <c r="E3" s="1676"/>
      <c r="F3" s="1676"/>
    </row>
    <row r="4" spans="1:10" ht="18" customHeight="1">
      <c r="D4" s="52"/>
      <c r="F4" s="64" t="s">
        <v>312</v>
      </c>
    </row>
    <row r="5" spans="1:10">
      <c r="A5" s="1682" t="s">
        <v>313</v>
      </c>
      <c r="B5" s="1682" t="s">
        <v>314</v>
      </c>
      <c r="C5" s="1683" t="s">
        <v>315</v>
      </c>
      <c r="D5" s="1684" t="s">
        <v>146</v>
      </c>
      <c r="E5" s="1682" t="s">
        <v>147</v>
      </c>
      <c r="F5" s="1682"/>
    </row>
    <row r="6" spans="1:10" ht="43.5" customHeight="1">
      <c r="A6" s="1682"/>
      <c r="B6" s="1682"/>
      <c r="C6" s="1683"/>
      <c r="D6" s="1684"/>
      <c r="E6" s="65" t="s">
        <v>148</v>
      </c>
      <c r="F6" s="362" t="s">
        <v>198</v>
      </c>
    </row>
    <row r="7" spans="1:10" s="593" customFormat="1" ht="18.75" customHeight="1">
      <c r="A7" s="800" t="s">
        <v>316</v>
      </c>
      <c r="B7" s="800" t="s">
        <v>317</v>
      </c>
      <c r="C7" s="801">
        <v>1</v>
      </c>
      <c r="D7" s="801">
        <v>2</v>
      </c>
      <c r="E7" s="802" t="s">
        <v>217</v>
      </c>
      <c r="F7" s="800" t="s">
        <v>199</v>
      </c>
      <c r="G7" s="803"/>
      <c r="H7" s="803"/>
    </row>
    <row r="8" spans="1:10" s="41" customFormat="1" ht="21.75" customHeight="1">
      <c r="A8" s="106"/>
      <c r="B8" s="35" t="s">
        <v>362</v>
      </c>
      <c r="C8" s="1561">
        <f>C9+C10+C46</f>
        <v>116334.72900000001</v>
      </c>
      <c r="D8" s="1561">
        <f>D9+D10+D46</f>
        <v>138250.39191099998</v>
      </c>
      <c r="E8" s="1561">
        <f>D8-C8</f>
        <v>21915.662910999978</v>
      </c>
      <c r="F8" s="62">
        <f>D8/C8*100</f>
        <v>118.83845271260311</v>
      </c>
      <c r="G8" s="40"/>
      <c r="H8" s="66"/>
    </row>
    <row r="9" spans="1:10" s="41" customFormat="1" ht="33" customHeight="1">
      <c r="A9" s="106" t="s">
        <v>316</v>
      </c>
      <c r="B9" s="67" t="s">
        <v>391</v>
      </c>
      <c r="C9" s="1561"/>
      <c r="D9" s="1561"/>
      <c r="E9" s="1561"/>
      <c r="F9" s="62"/>
      <c r="G9" s="66"/>
      <c r="H9" s="66"/>
    </row>
    <row r="10" spans="1:10" s="41" customFormat="1" ht="31.5" customHeight="1">
      <c r="A10" s="106" t="s">
        <v>317</v>
      </c>
      <c r="B10" s="67" t="s">
        <v>1372</v>
      </c>
      <c r="C10" s="1561">
        <f>C11+C28+C43+C44+C45</f>
        <v>116334.72900000001</v>
      </c>
      <c r="D10" s="1561">
        <f>D11+D28+D43+D44+D45</f>
        <v>126585.90394999999</v>
      </c>
      <c r="E10" s="1561">
        <f t="shared" ref="E10:E46" si="0">D10-C10</f>
        <v>10251.174949999986</v>
      </c>
      <c r="F10" s="62">
        <f>D10/C10*100</f>
        <v>108.81179252156076</v>
      </c>
      <c r="G10" s="66"/>
      <c r="H10" s="68"/>
      <c r="I10" s="69"/>
      <c r="J10" s="70"/>
    </row>
    <row r="11" spans="1:10" s="39" customFormat="1" ht="21" customHeight="1">
      <c r="A11" s="71" t="s">
        <v>318</v>
      </c>
      <c r="B11" s="72" t="s">
        <v>74</v>
      </c>
      <c r="C11" s="1562">
        <f>C12+C26+C27</f>
        <v>22167.618114000001</v>
      </c>
      <c r="D11" s="1562">
        <f t="shared" ref="D11:E11" si="1">D12+D27</f>
        <v>20986.962138999999</v>
      </c>
      <c r="E11" s="1562">
        <f t="shared" si="1"/>
        <v>-1180.6559750000015</v>
      </c>
      <c r="F11" s="1560">
        <f t="shared" ref="F11:F23" si="2">D11/C11*100</f>
        <v>94.673961050175464</v>
      </c>
      <c r="G11" s="63"/>
      <c r="H11" s="54"/>
      <c r="I11" s="73"/>
      <c r="J11" s="70"/>
    </row>
    <row r="12" spans="1:10" ht="21" customHeight="1">
      <c r="A12" s="1546">
        <v>1</v>
      </c>
      <c r="B12" s="75" t="s">
        <v>364</v>
      </c>
      <c r="C12" s="1563">
        <f>SUM(C13:C25)</f>
        <v>22167.618114000001</v>
      </c>
      <c r="D12" s="1563">
        <f>SUM(D13:D25)</f>
        <v>20986.962138999999</v>
      </c>
      <c r="E12" s="1563">
        <f t="shared" si="0"/>
        <v>-1180.6559750000015</v>
      </c>
      <c r="F12" s="77">
        <f t="shared" si="2"/>
        <v>94.673961050175464</v>
      </c>
      <c r="H12" s="54"/>
      <c r="I12" s="54"/>
      <c r="J12" s="70"/>
    </row>
    <row r="13" spans="1:10" ht="21" customHeight="1">
      <c r="A13" s="1546" t="s">
        <v>73</v>
      </c>
      <c r="B13" s="75" t="s">
        <v>239</v>
      </c>
      <c r="C13" s="1563">
        <v>3101.4670350000001</v>
      </c>
      <c r="D13" s="1563">
        <v>2985.3490350000002</v>
      </c>
      <c r="E13" s="1563">
        <f>D13-C13</f>
        <v>-116.11799999999994</v>
      </c>
      <c r="F13" s="77">
        <f t="shared" si="2"/>
        <v>96.256029850080296</v>
      </c>
    </row>
    <row r="14" spans="1:10" ht="21" customHeight="1">
      <c r="A14" s="1546" t="s">
        <v>73</v>
      </c>
      <c r="B14" s="75" t="s">
        <v>294</v>
      </c>
      <c r="C14" s="1563"/>
      <c r="D14" s="1563"/>
      <c r="E14" s="1563"/>
      <c r="F14" s="77"/>
    </row>
    <row r="15" spans="1:10" ht="21" customHeight="1">
      <c r="A15" s="1546" t="s">
        <v>73</v>
      </c>
      <c r="B15" s="75" t="s">
        <v>295</v>
      </c>
      <c r="C15" s="1563"/>
      <c r="D15" s="1563"/>
      <c r="E15" s="1563"/>
      <c r="F15" s="77"/>
    </row>
    <row r="16" spans="1:10" ht="21" customHeight="1">
      <c r="A16" s="1546" t="s">
        <v>73</v>
      </c>
      <c r="B16" s="75" t="s">
        <v>365</v>
      </c>
      <c r="C16" s="1563"/>
      <c r="D16" s="1563"/>
      <c r="E16" s="1563"/>
      <c r="F16" s="77"/>
    </row>
    <row r="17" spans="1:8" ht="21" customHeight="1">
      <c r="A17" s="1546" t="s">
        <v>73</v>
      </c>
      <c r="B17" s="75" t="s">
        <v>371</v>
      </c>
      <c r="C17" s="1563"/>
      <c r="D17" s="1563"/>
      <c r="E17" s="1563"/>
      <c r="F17" s="77"/>
    </row>
    <row r="18" spans="1:8" ht="21" customHeight="1">
      <c r="A18" s="1546" t="s">
        <v>73</v>
      </c>
      <c r="B18" s="75" t="s">
        <v>372</v>
      </c>
      <c r="C18" s="1563">
        <v>795.30150000000003</v>
      </c>
      <c r="D18" s="1563">
        <v>751.27020000000005</v>
      </c>
      <c r="E18" s="1563">
        <f t="shared" si="0"/>
        <v>-44.031299999999987</v>
      </c>
      <c r="F18" s="77">
        <f t="shared" si="2"/>
        <v>94.463571362558724</v>
      </c>
    </row>
    <row r="19" spans="1:8" ht="21" customHeight="1">
      <c r="A19" s="1546" t="s">
        <v>73</v>
      </c>
      <c r="B19" s="75" t="s">
        <v>334</v>
      </c>
      <c r="C19" s="1563"/>
      <c r="D19" s="1563"/>
      <c r="E19" s="1563"/>
      <c r="F19" s="77"/>
    </row>
    <row r="20" spans="1:8" ht="21" customHeight="1">
      <c r="A20" s="1546" t="s">
        <v>73</v>
      </c>
      <c r="B20" s="75" t="s">
        <v>366</v>
      </c>
      <c r="C20" s="1563"/>
      <c r="D20" s="1563"/>
      <c r="E20" s="1563"/>
      <c r="F20" s="77"/>
    </row>
    <row r="21" spans="1:8" ht="21" customHeight="1">
      <c r="A21" s="1546" t="s">
        <v>73</v>
      </c>
      <c r="B21" s="75" t="s">
        <v>373</v>
      </c>
      <c r="C21" s="1563">
        <v>156.87010000000001</v>
      </c>
      <c r="D21" s="1563">
        <v>156.87010000000001</v>
      </c>
      <c r="E21" s="1563"/>
      <c r="F21" s="77">
        <f t="shared" si="2"/>
        <v>100</v>
      </c>
    </row>
    <row r="22" spans="1:8" ht="21" customHeight="1">
      <c r="A22" s="1546" t="s">
        <v>73</v>
      </c>
      <c r="B22" s="75" t="s">
        <v>367</v>
      </c>
      <c r="C22" s="1563">
        <v>14506.1229</v>
      </c>
      <c r="D22" s="1563">
        <v>13638.260036</v>
      </c>
      <c r="E22" s="1563">
        <f t="shared" si="0"/>
        <v>-867.86286400000063</v>
      </c>
      <c r="F22" s="77">
        <f t="shared" si="2"/>
        <v>94.017265192203766</v>
      </c>
    </row>
    <row r="23" spans="1:8" ht="33.75" customHeight="1">
      <c r="A23" s="1546" t="s">
        <v>73</v>
      </c>
      <c r="B23" s="75" t="s">
        <v>335</v>
      </c>
      <c r="C23" s="1563">
        <v>3607.8565789999998</v>
      </c>
      <c r="D23" s="1563">
        <v>3455.2127679999999</v>
      </c>
      <c r="E23" s="1563">
        <f t="shared" si="0"/>
        <v>-152.64381099999991</v>
      </c>
      <c r="F23" s="77">
        <f t="shared" si="2"/>
        <v>95.769127523292269</v>
      </c>
    </row>
    <row r="24" spans="1:8" ht="21" customHeight="1">
      <c r="A24" s="1546" t="s">
        <v>73</v>
      </c>
      <c r="B24" s="75" t="s">
        <v>76</v>
      </c>
      <c r="C24" s="1563"/>
      <c r="D24" s="1563"/>
      <c r="E24" s="1563"/>
      <c r="F24" s="77"/>
    </row>
    <row r="25" spans="1:8" ht="36" customHeight="1">
      <c r="A25" s="1546" t="s">
        <v>73</v>
      </c>
      <c r="B25" s="75" t="s">
        <v>1036</v>
      </c>
      <c r="C25" s="1563"/>
      <c r="D25" s="1563"/>
      <c r="E25" s="1563"/>
      <c r="F25" s="77"/>
    </row>
    <row r="26" spans="1:8" s="37" customFormat="1" ht="70.5" customHeight="1">
      <c r="A26" s="159">
        <v>2</v>
      </c>
      <c r="B26" s="32" t="s">
        <v>293</v>
      </c>
      <c r="C26" s="1563"/>
      <c r="D26" s="1563"/>
      <c r="E26" s="1563"/>
      <c r="F26" s="77"/>
      <c r="G26" s="66"/>
      <c r="H26" s="66"/>
    </row>
    <row r="27" spans="1:8" ht="21" customHeight="1">
      <c r="A27" s="1546">
        <v>3</v>
      </c>
      <c r="B27" s="75" t="s">
        <v>638</v>
      </c>
      <c r="C27" s="1563"/>
      <c r="D27" s="1563"/>
      <c r="E27" s="1563"/>
      <c r="F27" s="49"/>
    </row>
    <row r="28" spans="1:8" s="39" customFormat="1" ht="21" customHeight="1">
      <c r="A28" s="190" t="s">
        <v>149</v>
      </c>
      <c r="B28" s="76" t="s">
        <v>471</v>
      </c>
      <c r="C28" s="1506">
        <f>SUM(C29:C42)</f>
        <v>94167.110886000009</v>
      </c>
      <c r="D28" s="1506">
        <f>SUM(D29:D42)</f>
        <v>104822.463881</v>
      </c>
      <c r="E28" s="1506">
        <f>SUM(E29:E42)</f>
        <v>10655.352995000003</v>
      </c>
      <c r="F28" s="77">
        <f>D28/C28*100</f>
        <v>111.31536573092862</v>
      </c>
      <c r="G28" s="63"/>
      <c r="H28" s="63"/>
    </row>
    <row r="29" spans="1:8" ht="21" customHeight="1">
      <c r="A29" s="1546" t="s">
        <v>73</v>
      </c>
      <c r="B29" s="75" t="s">
        <v>239</v>
      </c>
      <c r="C29" s="1563">
        <v>45713.53</v>
      </c>
      <c r="D29" s="1563">
        <v>45791.541488000003</v>
      </c>
      <c r="E29" s="1563">
        <f t="shared" si="0"/>
        <v>78.011488000003737</v>
      </c>
      <c r="F29" s="49">
        <f>D29/C29*100</f>
        <v>100.1706529511066</v>
      </c>
    </row>
    <row r="30" spans="1:8" ht="21" customHeight="1">
      <c r="A30" s="1546" t="s">
        <v>73</v>
      </c>
      <c r="B30" s="75" t="s">
        <v>337</v>
      </c>
      <c r="C30" s="1563"/>
      <c r="D30" s="1563"/>
      <c r="E30" s="1563"/>
      <c r="F30" s="49"/>
    </row>
    <row r="31" spans="1:8" ht="21" customHeight="1">
      <c r="A31" s="1546" t="s">
        <v>73</v>
      </c>
      <c r="B31" s="75" t="s">
        <v>295</v>
      </c>
      <c r="C31" s="1563">
        <v>1244.0329999999999</v>
      </c>
      <c r="D31" s="1563">
        <v>1012.572181</v>
      </c>
      <c r="E31" s="1563">
        <f t="shared" si="0"/>
        <v>-231.4608189999999</v>
      </c>
      <c r="F31" s="49">
        <f>D31/C31*100</f>
        <v>81.394318398306169</v>
      </c>
    </row>
    <row r="32" spans="1:8" ht="21" customHeight="1">
      <c r="A32" s="1546" t="s">
        <v>73</v>
      </c>
      <c r="B32" s="75" t="s">
        <v>365</v>
      </c>
      <c r="C32" s="1563">
        <v>523.67999999999995</v>
      </c>
      <c r="D32" s="1563">
        <v>418.03</v>
      </c>
      <c r="E32" s="1563">
        <f t="shared" si="0"/>
        <v>-105.64999999999998</v>
      </c>
      <c r="F32" s="49">
        <f>D32/C32*100</f>
        <v>79.82546593339444</v>
      </c>
    </row>
    <row r="33" spans="1:8" ht="21" customHeight="1">
      <c r="A33" s="1546" t="s">
        <v>73</v>
      </c>
      <c r="B33" s="75" t="s">
        <v>371</v>
      </c>
      <c r="C33" s="1563">
        <v>143.80000000000001</v>
      </c>
      <c r="D33" s="1563">
        <v>88.451999999999998</v>
      </c>
      <c r="E33" s="1563">
        <f t="shared" si="0"/>
        <v>-55.348000000000013</v>
      </c>
      <c r="F33" s="49">
        <f>D33/C33*100</f>
        <v>61.510431154381074</v>
      </c>
    </row>
    <row r="34" spans="1:8" ht="21" customHeight="1">
      <c r="A34" s="1546" t="s">
        <v>73</v>
      </c>
      <c r="B34" s="75" t="s">
        <v>372</v>
      </c>
      <c r="C34" s="1563">
        <v>110</v>
      </c>
      <c r="D34" s="1563">
        <v>218.85599999999999</v>
      </c>
      <c r="E34" s="1563">
        <f t="shared" si="0"/>
        <v>108.85599999999999</v>
      </c>
      <c r="F34" s="49">
        <f>D34/C34*100</f>
        <v>198.96</v>
      </c>
    </row>
    <row r="35" spans="1:8" ht="21" customHeight="1">
      <c r="A35" s="1546" t="s">
        <v>73</v>
      </c>
      <c r="B35" s="75" t="s">
        <v>334</v>
      </c>
      <c r="C35" s="1563">
        <v>45</v>
      </c>
      <c r="D35" s="1563">
        <v>37.758377000000003</v>
      </c>
      <c r="E35" s="1563">
        <f t="shared" si="0"/>
        <v>-7.241622999999997</v>
      </c>
      <c r="F35" s="49">
        <f>D35/C35*100</f>
        <v>83.907504444444442</v>
      </c>
    </row>
    <row r="36" spans="1:8" ht="21" customHeight="1">
      <c r="A36" s="1546" t="s">
        <v>73</v>
      </c>
      <c r="B36" s="75" t="s">
        <v>366</v>
      </c>
      <c r="C36" s="1563">
        <v>0</v>
      </c>
      <c r="D36" s="1563">
        <v>68.977000000000004</v>
      </c>
      <c r="E36" s="1563">
        <f t="shared" si="0"/>
        <v>68.977000000000004</v>
      </c>
      <c r="F36" s="49"/>
    </row>
    <row r="37" spans="1:8" ht="21" customHeight="1">
      <c r="A37" s="1546" t="s">
        <v>73</v>
      </c>
      <c r="B37" s="75" t="s">
        <v>373</v>
      </c>
      <c r="C37" s="1563">
        <v>50</v>
      </c>
      <c r="D37" s="1563">
        <v>340</v>
      </c>
      <c r="E37" s="1563">
        <f>D37-C37</f>
        <v>290</v>
      </c>
      <c r="F37" s="49">
        <f t="shared" ref="F37:F41" si="3">D37/C37*100</f>
        <v>680</v>
      </c>
    </row>
    <row r="38" spans="1:8" ht="21" customHeight="1">
      <c r="A38" s="1546" t="s">
        <v>73</v>
      </c>
      <c r="B38" s="75" t="s">
        <v>367</v>
      </c>
      <c r="C38" s="1563">
        <v>10105.960262000001</v>
      </c>
      <c r="D38" s="1563">
        <v>12933.924010999999</v>
      </c>
      <c r="E38" s="1563">
        <f>D38-C38</f>
        <v>2827.9637489999986</v>
      </c>
      <c r="F38" s="49">
        <f t="shared" si="3"/>
        <v>127.98312753745518</v>
      </c>
    </row>
    <row r="39" spans="1:8" ht="36.75" customHeight="1">
      <c r="A39" s="1546" t="s">
        <v>73</v>
      </c>
      <c r="B39" s="1547" t="s">
        <v>335</v>
      </c>
      <c r="C39" s="1563">
        <v>31957.440623999999</v>
      </c>
      <c r="D39" s="1563">
        <v>37686.592603999998</v>
      </c>
      <c r="E39" s="1563">
        <f t="shared" si="0"/>
        <v>5729.1519799999987</v>
      </c>
      <c r="F39" s="49">
        <f t="shared" si="3"/>
        <v>117.92744308722085</v>
      </c>
    </row>
    <row r="40" spans="1:8" ht="21" customHeight="1">
      <c r="A40" s="1546" t="s">
        <v>73</v>
      </c>
      <c r="B40" s="75" t="s">
        <v>76</v>
      </c>
      <c r="C40" s="1563">
        <v>4001.6669999999999</v>
      </c>
      <c r="D40" s="1563">
        <v>5795.7602200000001</v>
      </c>
      <c r="E40" s="1563">
        <f t="shared" si="0"/>
        <v>1794.0932200000002</v>
      </c>
      <c r="F40" s="49">
        <f t="shared" si="3"/>
        <v>144.833646077997</v>
      </c>
    </row>
    <row r="41" spans="1:8" ht="21" customHeight="1">
      <c r="A41" s="1546" t="s">
        <v>73</v>
      </c>
      <c r="B41" s="75" t="s">
        <v>368</v>
      </c>
      <c r="C41" s="1563">
        <v>272</v>
      </c>
      <c r="D41" s="1563">
        <v>430</v>
      </c>
      <c r="E41" s="1563">
        <f t="shared" si="0"/>
        <v>158</v>
      </c>
      <c r="F41" s="49">
        <f t="shared" si="3"/>
        <v>158.08823529411765</v>
      </c>
    </row>
    <row r="42" spans="1:8" ht="21" customHeight="1">
      <c r="A42" s="1546" t="s">
        <v>73</v>
      </c>
      <c r="B42" s="75" t="s">
        <v>636</v>
      </c>
      <c r="C42" s="1563"/>
      <c r="D42" s="1563"/>
      <c r="E42" s="1563"/>
      <c r="F42" s="49"/>
    </row>
    <row r="43" spans="1:8" s="39" customFormat="1" ht="21" customHeight="1">
      <c r="A43" s="190" t="s">
        <v>64</v>
      </c>
      <c r="B43" s="76" t="s">
        <v>400</v>
      </c>
      <c r="C43" s="1506"/>
      <c r="D43" s="1506"/>
      <c r="E43" s="1506"/>
      <c r="F43" s="77"/>
      <c r="G43" s="63"/>
      <c r="H43" s="63"/>
    </row>
    <row r="44" spans="1:8" s="39" customFormat="1" ht="21" customHeight="1">
      <c r="A44" s="190" t="s">
        <v>65</v>
      </c>
      <c r="B44" s="76" t="s">
        <v>498</v>
      </c>
      <c r="C44" s="1506"/>
      <c r="D44" s="1506"/>
      <c r="E44" s="1506"/>
      <c r="F44" s="77"/>
      <c r="G44" s="63"/>
      <c r="H44" s="63"/>
    </row>
    <row r="45" spans="1:8" s="39" customFormat="1" ht="21" customHeight="1">
      <c r="A45" s="190" t="s">
        <v>69</v>
      </c>
      <c r="B45" s="76" t="s">
        <v>351</v>
      </c>
      <c r="C45" s="1506"/>
      <c r="D45" s="1506">
        <v>776.47793000000001</v>
      </c>
      <c r="E45" s="1506">
        <f t="shared" si="0"/>
        <v>776.47793000000001</v>
      </c>
      <c r="F45" s="77"/>
      <c r="G45" s="63"/>
      <c r="H45" s="63"/>
    </row>
    <row r="46" spans="1:8" s="41" customFormat="1" ht="23.25" customHeight="1">
      <c r="A46" s="56" t="s">
        <v>246</v>
      </c>
      <c r="B46" s="57" t="s">
        <v>333</v>
      </c>
      <c r="C46" s="1564"/>
      <c r="D46" s="1564">
        <v>11664.487961000001</v>
      </c>
      <c r="E46" s="1564">
        <f t="shared" si="0"/>
        <v>11664.487961000001</v>
      </c>
      <c r="F46" s="78"/>
      <c r="G46" s="66"/>
      <c r="H46" s="66"/>
    </row>
    <row r="48" spans="1:8" ht="15" customHeight="1">
      <c r="B48" s="37"/>
      <c r="C48" s="1676"/>
      <c r="D48" s="1676"/>
      <c r="E48" s="1676"/>
      <c r="F48" s="1676"/>
    </row>
    <row r="49" spans="2:6" ht="17.25" customHeight="1">
      <c r="B49" s="37"/>
      <c r="C49" s="1672"/>
      <c r="D49" s="1672"/>
      <c r="E49" s="1672"/>
      <c r="F49" s="1672"/>
    </row>
    <row r="50" spans="2:6" ht="17.25" customHeight="1">
      <c r="B50" s="37"/>
      <c r="C50" s="1672"/>
      <c r="D50" s="1672"/>
      <c r="E50" s="1672"/>
      <c r="F50" s="1672"/>
    </row>
    <row r="51" spans="2:6" ht="15.75" customHeight="1">
      <c r="B51" s="37"/>
      <c r="C51" s="1676"/>
      <c r="D51" s="1676"/>
      <c r="E51" s="1676"/>
      <c r="F51" s="1676"/>
    </row>
    <row r="52" spans="2:6">
      <c r="E52" s="26"/>
    </row>
    <row r="53" spans="2:6">
      <c r="E53" s="26"/>
    </row>
    <row r="54" spans="2:6">
      <c r="E54" s="26"/>
    </row>
    <row r="55" spans="2:6">
      <c r="E55" s="26"/>
    </row>
    <row r="56" spans="2:6">
      <c r="E56" s="26"/>
    </row>
    <row r="57" spans="2:6">
      <c r="E57" s="26"/>
    </row>
    <row r="58" spans="2:6" ht="18.75">
      <c r="C58" s="1678"/>
      <c r="D58" s="1678"/>
      <c r="E58" s="1678"/>
      <c r="F58" s="1678"/>
    </row>
  </sheetData>
  <mergeCells count="13">
    <mergeCell ref="C48:F48"/>
    <mergeCell ref="C58:F58"/>
    <mergeCell ref="C51:F51"/>
    <mergeCell ref="C50:F50"/>
    <mergeCell ref="C49:F49"/>
    <mergeCell ref="E1:F1"/>
    <mergeCell ref="A2:F2"/>
    <mergeCell ref="A5:A6"/>
    <mergeCell ref="B5:B6"/>
    <mergeCell ref="C5:C6"/>
    <mergeCell ref="D5:D6"/>
    <mergeCell ref="E5:F5"/>
    <mergeCell ref="A3:F3"/>
  </mergeCells>
  <phoneticPr fontId="32" type="noConversion"/>
  <pageMargins left="0.55118110236220474" right="0.19685039370078741" top="0.59055118110236227" bottom="0.47244094488188981" header="0.31496062992125984" footer="0.23622047244094491"/>
  <pageSetup paperSize="9" firstPageNumber="157"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22</vt:i4>
      </vt:variant>
    </vt:vector>
  </HeadingPairs>
  <TitlesOfParts>
    <vt:vector size="53" baseType="lpstr">
      <vt:lpstr>PL tong hop</vt:lpstr>
      <vt:lpstr>SGV</vt:lpstr>
      <vt:lpstr>PHỤ LỤC</vt:lpstr>
      <vt:lpstr>48.QTCĐNSĐP</vt:lpstr>
      <vt:lpstr>49</vt:lpstr>
      <vt:lpstr>50</vt:lpstr>
      <vt:lpstr>51</vt:lpstr>
      <vt:lpstr>52</vt:lpstr>
      <vt:lpstr>53</vt:lpstr>
      <vt:lpstr>54</vt:lpstr>
      <vt:lpstr>55</vt:lpstr>
      <vt:lpstr>56</vt:lpstr>
      <vt:lpstr>57</vt:lpstr>
      <vt:lpstr>58</vt:lpstr>
      <vt:lpstr>59- Không có</vt:lpstr>
      <vt:lpstr>60</vt:lpstr>
      <vt:lpstr>61</vt:lpstr>
      <vt:lpstr>62</vt:lpstr>
      <vt:lpstr>63</vt:lpstr>
      <vt:lpstr>64</vt:lpstr>
      <vt:lpstr>CCTL</vt:lpstr>
      <vt:lpstr>B01STC</vt:lpstr>
      <vt:lpstr>Nguồn CCTL</vt:lpstr>
      <vt:lpstr>Sheet1</vt:lpstr>
      <vt:lpstr>Sheet2</vt:lpstr>
      <vt:lpstr>pb01</vt:lpstr>
      <vt:lpstr>pb02</vt:lpstr>
      <vt:lpstr>PB03</vt:lpstr>
      <vt:lpstr>PB04</vt:lpstr>
      <vt:lpstr>pl05</vt:lpstr>
      <vt:lpstr>PL06</vt:lpstr>
      <vt:lpstr>'50'!Print_Titles</vt:lpstr>
      <vt:lpstr>'51'!Print_Titles</vt:lpstr>
      <vt:lpstr>'52'!Print_Titles</vt:lpstr>
      <vt:lpstr>'53'!Print_Titles</vt:lpstr>
      <vt:lpstr>'54'!Print_Titles</vt:lpstr>
      <vt:lpstr>'55'!Print_Titles</vt:lpstr>
      <vt:lpstr>'56'!Print_Titles</vt:lpstr>
      <vt:lpstr>'57'!Print_Titles</vt:lpstr>
      <vt:lpstr>'58'!Print_Titles</vt:lpstr>
      <vt:lpstr>'59- Không có'!Print_Titles</vt:lpstr>
      <vt:lpstr>'60'!Print_Titles</vt:lpstr>
      <vt:lpstr>'61'!Print_Titles</vt:lpstr>
      <vt:lpstr>'62'!Print_Titles</vt:lpstr>
      <vt:lpstr>'63'!Print_Titles</vt:lpstr>
      <vt:lpstr>B01STC!Print_Titles</vt:lpstr>
      <vt:lpstr>'pb01'!Print_Titles</vt:lpstr>
      <vt:lpstr>'pb02'!Print_Titles</vt:lpstr>
      <vt:lpstr>'PB03'!Print_Titles</vt:lpstr>
      <vt:lpstr>'PB04'!Print_Titles</vt:lpstr>
      <vt:lpstr>'PL tong hop'!Print_Titles</vt:lpstr>
      <vt:lpstr>'pl05'!Print_Titles</vt:lpstr>
      <vt:lpstr>'PHỤ LỤC'!Print_Titles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GP Computer</cp:lastModifiedBy>
  <cp:lastPrinted>2026-04-09T08:32:07Z</cp:lastPrinted>
  <dcterms:created xsi:type="dcterms:W3CDTF">2017-05-03T08:35:13Z</dcterms:created>
  <dcterms:modified xsi:type="dcterms:W3CDTF">2026-04-15T08:49:38Z</dcterms:modified>
</cp:coreProperties>
</file>